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F3BAA4DA-18BD-43CE-A1F1-3FAF29F2FFF9}" xr6:coauthVersionLast="47" xr6:coauthVersionMax="47" xr10:uidLastSave="{00000000-0000-0000-0000-000000000000}"/>
  <bookViews>
    <workbookView xWindow="53652" yWindow="-108" windowWidth="30936" windowHeight="1677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K46"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C65" i="9"/>
  <c r="L65" i="9"/>
  <c r="C13" i="6"/>
  <c r="C10" i="6"/>
  <c r="K40" i="9"/>
  <c r="L41" i="9"/>
  <c r="L43" i="9"/>
  <c r="L46" i="9" s="1"/>
  <c r="K45" i="9"/>
  <c r="B43" i="9" s="1"/>
  <c r="M13" i="4"/>
  <c r="K12" i="4"/>
  <c r="J12" i="4" s="1"/>
  <c r="C11" i="6"/>
  <c r="M47" i="4" l="1"/>
  <c r="L63" i="9"/>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<sst xmlns="http://schemas.openxmlformats.org/spreadsheetml/2006/main" count="2899" uniqueCount="1655">
  <si>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</si>
  <si>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</si>
  <si>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</si>
  <si>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</si>
  <si>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</si>
  <si>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</si>
  <si>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</si>
  <si>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</si>
  <si>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</si>
  <si>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</si>
  <si>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</si>
  <si>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</si>
  <si>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</si>
  <si>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</si>
  <si>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</si>
  <si>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</si>
  <si>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</si>
  <si>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</si>
  <si>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</si>
  <si>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</si>
  <si>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</si>
  <si>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</si>
  <si>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</si>
  <si>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</si>
  <si>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</si>
  <si>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</si>
  <si>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</si>
  <si>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</si>
  <si>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</si>
  <si>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</si>
  <si>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</si>
  <si>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</si>
  <si>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</si>
  <si>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</si>
  <si>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</si>
  <si>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</si>
  <si>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</si>
  <si>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</si>
  <si>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</si>
  <si>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</si>
  <si>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</si>
  <si>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</si>
  <si>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</si>
  <si>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</si>
  <si>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</si>
  <si>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</si>
  <si>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</si>
  <si>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</si>
  <si>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</si>
  <si>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</si>
  <si>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</si>
  <si>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</si>
  <si>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</si>
  <si>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</si>
  <si>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</si>
  <si>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</si>
  <si>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</si>
  <si>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</si>
  <si>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</si>
  <si>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</si>
  <si>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</si>
  <si>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</si>
  <si>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</si>
  <si>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</si>
  <si>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</si>
  <si>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</si>
  <si>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</si>
  <si>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</si>
  <si>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</si>
  <si>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</si>
  <si>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</si>
  <si>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</si>
  <si>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</si>
  <si>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</si>
  <si>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</si>
  <si>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</si>
  <si>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</si>
  <si>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</si>
  <si>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</si>
  <si>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</si>
  <si>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</si>
  <si>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</si>
  <si>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</si>
  <si>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</si>
  <si>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</si>
  <si>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</si>
  <si>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</si>
  <si>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</si>
  <si>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</si>
  <si>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</si>
  <si>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</si>
  <si>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</si>
  <si>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</si>
  <si>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</si>
  <si>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</si>
  <si>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</si>
  <si>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</si>
  <si>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</si>
  <si>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</si>
  <si>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</si>
  <si>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</si>
  <si>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</si>
  <si>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</si>
  <si>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</si>
  <si>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</si>
  <si>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</si>
  <si>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</si>
  <si>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</si>
  <si>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</si>
  <si>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</si>
  <si>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</si>
  <si>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</si>
  <si>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</si>
  <si>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</si>
  <si>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</si>
  <si>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</si>
  <si>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</si>
  <si>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</si>
  <si>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</si>
  <si>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</si>
  <si>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</si>
  <si>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</si>
  <si>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</si>
  <si>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</si>
  <si>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</si>
  <si>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</si>
  <si>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</si>
  <si>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</si>
  <si>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</si>
  <si>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</si>
  <si>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</si>
  <si>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</si>
  <si>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</si>
  <si>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</si>
  <si>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</si>
  <si>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</si>
  <si>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</si>
  <si>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</si>
  <si>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</si>
  <si>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</si>
  <si>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</si>
  <si>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</si>
  <si>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</si>
  <si>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</si>
  <si>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</si>
  <si>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</si>
  <si>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</si>
  <si>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</si>
  <si>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</si>
  <si>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</si>
  <si>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</si>
  <si>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</si>
  <si>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</si>
  <si>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</si>
  <si>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</si>
  <si>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</si>
  <si>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</si>
  <si>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</si>
  <si>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</si>
  <si>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</si>
  <si>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</si>
  <si>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</si>
  <si>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</si>
  <si>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</si>
  <si>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</si>
  <si>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</si>
  <si>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</si>
  <si>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</si>
  <si>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</si>
  <si>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</si>
  <si>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</si>
  <si>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</si>
  <si>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</si>
  <si>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</si>
  <si>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</si>
  <si>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</si>
  <si>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</si>
  <si>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</si>
  <si>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</si>
  <si>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</si>
  <si>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</si>
  <si>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</si>
  <si>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</si>
  <si>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</si>
  <si>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</si>
  <si>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</si>
  <si>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</si>
  <si>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</si>
  <si>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</si>
  <si>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</si>
  <si>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</si>
  <si>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</si>
  <si>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</si>
  <si>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</si>
  <si>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</si>
  <si>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</si>
  <si>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</si>
  <si>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</si>
  <si>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</si>
  <si>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</si>
  <si>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</si>
  <si>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</si>
  <si>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</si>
  <si>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</si>
  <si>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</si>
  <si>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</si>
  <si>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</si>
  <si>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</si>
  <si>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</si>
  <si>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</si>
  <si>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</si>
  <si>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</si>
  <si>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</si>
  <si>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</si>
  <si>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</si>
  <si>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</si>
  <si>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</si>
  <si>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</si>
  <si>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</si>
  <si>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</si>
  <si>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</si>
  <si>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</si>
  <si>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</si>
  <si>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</si>
  <si>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</si>
  <si>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</si>
  <si>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</si>
  <si>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</si>
  <si>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</si>
  <si>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</si>
  <si>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</si>
  <si>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</si>
  <si>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</si>
  <si>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</si>
  <si>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</si>
  <si>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</si>
  <si>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</si>
  <si>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</si>
  <si>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</si>
  <si>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</si>
  <si>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</si>
  <si>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</si>
  <si>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</si>
  <si>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</si>
  <si>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</si>
  <si>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</si>
  <si>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</si>
  <si>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</si>
  <si>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</si>
  <si>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</si>
  <si>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</si>
  <si>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</si>
  <si>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</si>
  <si>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</si>
  <si>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</si>
  <si>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</si>
  <si>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</si>
  <si>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</si>
  <si>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</si>
  <si>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</si>
  <si>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</si>
  <si>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</si>
  <si>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</si>
  <si>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</si>
  <si>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</si>
  <si>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</si>
  <si>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</si>
  <si>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</si>
  <si>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</si>
  <si>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</si>
  <si>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</si>
  <si>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</si>
  <si>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</si>
  <si>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</si>
  <si>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</si>
  <si>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</si>
  <si>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</si>
  <si>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</si>
  <si>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</si>
  <si>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</si>
  <si>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</si>
  <si>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</si>
  <si>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</si>
  <si>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</si>
  <si>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</si>
  <si>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</si>
  <si>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</si>
  <si>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</si>
  <si>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</si>
  <si>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</si>
  <si>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</si>
  <si>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</si>
  <si>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</si>
  <si>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</si>
  <si>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</si>
  <si>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</si>
  <si>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</si>
  <si>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</si>
  <si>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</si>
  <si>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</si>
  <si>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</si>
  <si>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</si>
  <si>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</si>
  <si>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</si>
  <si>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</si>
  <si>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</si>
  <si>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</si>
  <si>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</si>
  <si>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</si>
  <si>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</si>
  <si>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</si>
  <si>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</si>
  <si>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</si>
  <si>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</si>
  <si>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</si>
  <si>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</si>
  <si>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</si>
  <si>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</si>
  <si>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</si>
  <si>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</si>
  <si>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</si>
  <si>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</si>
  <si>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</si>
  <si>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</si>
  <si>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</si>
  <si>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</si>
  <si>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</si>
  <si>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</si>
  <si>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</si>
  <si>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</si>
  <si>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</si>
  <si>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</si>
  <si>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</si>
  <si>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</si>
  <si>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</si>
  <si>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</si>
  <si>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</si>
  <si>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</si>
  <si>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</si>
  <si>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</si>
  <si>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</si>
  <si>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</si>
  <si>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</si>
  <si>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</si>
  <si>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</si>
  <si>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</si>
  <si>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</si>
  <si>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</si>
  <si>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</si>
  <si>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</si>
  <si>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</si>
  <si>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</si>
  <si>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</si>
  <si>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</si>
  <si>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</si>
  <si>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</si>
  <si>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</si>
  <si>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</si>
  <si>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</si>
  <si>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</si>
  <si>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</si>
  <si>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</si>
  <si>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</si>
  <si>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</si>
  <si>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</si>
  <si>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</si>
  <si>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</si>
  <si>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</si>
  <si>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</si>
  <si>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</si>
  <si>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</si>
  <si>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</si>
  <si>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</si>
  <si>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</si>
  <si>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</si>
  <si>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</si>
  <si>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</si>
  <si>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</si>
  <si>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</si>
  <si>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</si>
  <si>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</si>
  <si>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</si>
  <si>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</si>
  <si>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</si>
  <si>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</si>
  <si>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</si>
  <si>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</si>
  <si>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</si>
  <si>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</si>
  <si>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</si>
  <si>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</si>
  <si>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</si>
  <si>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</si>
  <si>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</si>
  <si>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</si>
  <si>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</si>
  <si>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</si>
  <si>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</si>
  <si>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</si>
  <si>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</si>
  <si>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</si>
  <si>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</si>
  <si>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</si>
  <si>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</si>
  <si>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</si>
  <si>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</si>
  <si>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</si>
  <si>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</si>
  <si>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</si>
  <si>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</si>
  <si>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</si>
  <si>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</si>
  <si>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</si>
  <si>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</si>
  <si>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</si>
  <si>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</si>
  <si>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</si>
  <si>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</si>
  <si>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</si>
  <si>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</si>
  <si>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</si>
  <si>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</si>
  <si>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</si>
  <si>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</si>
  <si>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</si>
  <si>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</si>
  <si>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</si>
  <si>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</si>
  <si>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</si>
  <si>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</si>
  <si>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</si>
  <si>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</si>
  <si>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</si>
  <si>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</si>
  <si>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</si>
  <si>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</si>
  <si>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</si>
  <si>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</si>
  <si>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</si>
  <si>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</si>
  <si>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</si>
  <si>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</si>
  <si>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</si>
  <si>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</si>
  <si>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</si>
  <si>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</si>
  <si>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</si>
  <si>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</si>
  <si>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</si>
  <si>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</si>
  <si>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</si>
  <si>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</si>
  <si>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</si>
  <si>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</si>
  <si>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</si>
  <si>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</si>
  <si>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</si>
  <si>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</si>
  <si>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</si>
  <si>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</si>
  <si>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</si>
  <si>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</si>
  <si>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</si>
  <si>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</si>
  <si>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</si>
  <si>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</si>
  <si>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</si>
  <si>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</si>
  <si>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</si>
  <si>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</si>
  <si>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</si>
  <si>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</si>
  <si>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</si>
  <si>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</si>
  <si>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</si>
  <si>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</si>
  <si>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</si>
  <si>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</si>
  <si>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</si>
  <si>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</si>
  <si>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</si>
  <si>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</si>
  <si>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</si>
  <si>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</si>
  <si>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</si>
  <si>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</si>
  <si>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</si>
  <si>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</si>
  <si>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</si>
  <si>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</si>
  <si>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</si>
  <si>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</si>
  <si>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</si>
  <si>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</si>
  <si>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</si>
  <si>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</si>
  <si>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</si>
  <si>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</si>
  <si>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</si>
  <si>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</si>
  <si>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</si>
  <si>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</si>
  <si>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</si>
  <si>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</si>
  <si>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</si>
  <si>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</si>
  <si>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</si>
  <si>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</si>
  <si>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</si>
  <si>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</si>
  <si>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</si>
  <si>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</si>
  <si>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</si>
  <si>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</si>
  <si>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</si>
  <si>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</si>
  <si>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</si>
  <si>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</si>
  <si>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</si>
  <si>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</si>
  <si>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</si>
  <si>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</si>
  <si>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</si>
  <si>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</si>
  <si>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</si>
  <si>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</si>
  <si>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</si>
  <si>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</si>
  <si>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</si>
  <si>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</si>
  <si>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</si>
  <si>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</si>
  <si>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</si>
  <si>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</si>
  <si>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</si>
  <si>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</si>
  <si>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</si>
  <si>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</si>
  <si>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</si>
  <si>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</si>
  <si>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</si>
  <si>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</si>
  <si>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</si>
  <si>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</si>
  <si>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</si>
  <si>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</si>
  <si>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</si>
  <si>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</si>
  <si>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</si>
  <si>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</si>
  <si>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</si>
  <si>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</si>
  <si>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</si>
  <si>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</si>
  <si>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</si>
  <si>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</si>
  <si>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</si>
  <si>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</si>
  <si>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</si>
  <si>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</si>
  <si>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</si>
  <si>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</si>
  <si>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</si>
  <si>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</si>
  <si>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</si>
  <si>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</si>
  <si>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</si>
  <si>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</si>
  <si>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</si>
  <si>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</si>
  <si>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</si>
  <si>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</si>
  <si>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</si>
  <si>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</si>
  <si>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</si>
  <si>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</si>
  <si>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</si>
  <si>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</si>
  <si>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</si>
  <si>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</si>
  <si>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</si>
  <si>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</si>
  <si>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</si>
  <si>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</si>
  <si>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</si>
  <si>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</si>
  <si>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</si>
  <si>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</si>
  <si>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</si>
  <si>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</si>
  <si>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</si>
  <si>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</si>
  <si>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</si>
  <si>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</si>
  <si>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</si>
  <si>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</si>
  <si>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</si>
  <si>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</si>
  <si>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</si>
  <si>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</si>
  <si>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</si>
  <si>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</si>
  <si>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</si>
  <si>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</si>
  <si>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</si>
  <si>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</si>
  <si>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</si>
  <si>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</si>
  <si>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</si>
  <si>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</si>
  <si>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</si>
  <si>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</si>
  <si>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</si>
  <si>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</si>
  <si>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</si>
  <si>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</si>
  <si>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</si>
  <si>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</si>
  <si>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</si>
  <si>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</si>
  <si>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</si>
  <si>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</si>
  <si>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</si>
  <si>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</si>
  <si>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</si>
  <si>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</si>
  <si>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</si>
  <si>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</si>
  <si>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</si>
  <si>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</si>
  <si>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</si>
  <si>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</si>
  <si>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</si>
  <si>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</si>
  <si>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</si>
  <si>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</si>
  <si>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</si>
  <si>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</si>
  <si>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</si>
  <si>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</si>
  <si>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</si>
  <si>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</si>
  <si>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</si>
  <si>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</si>
  <si>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</si>
  <si>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</si>
  <si>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</si>
  <si>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</si>
  <si>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</si>
  <si>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</si>
  <si>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</si>
  <si>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</si>
  <si>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</si>
  <si>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</si>
  <si>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</si>
  <si>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</si>
  <si>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</si>
  <si>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</si>
  <si>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</si>
  <si>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</si>
  <si>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</si>
  <si>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</si>
  <si>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</si>
  <si>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</si>
  <si>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</si>
  <si>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</si>
  <si>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</si>
  <si>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</si>
  <si>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</si>
  <si>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</si>
  <si>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</si>
  <si>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</si>
  <si>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</si>
  <si>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</si>
  <si>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</si>
  <si>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</si>
  <si>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</si>
  <si>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</si>
  <si>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</si>
  <si>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</si>
  <si>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</si>
  <si>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</si>
  <si>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</si>
  <si>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</si>
  <si>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</si>
  <si>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</si>
  <si>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</si>
  <si>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</si>
  <si>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</si>
  <si>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</si>
  <si>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</si>
  <si>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</si>
  <si>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</si>
  <si>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</si>
  <si>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</si>
  <si>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</si>
  <si>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</si>
  <si>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</si>
  <si>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</si>
  <si>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</si>
  <si>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</si>
  <si>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</si>
  <si>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</si>
  <si>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</si>
  <si>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</si>
  <si>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</si>
  <si>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</si>
  <si>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</si>
  <si>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</si>
  <si>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</si>
  <si>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</si>
  <si>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</si>
  <si>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</si>
  <si>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</si>
  <si>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</si>
  <si>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</si>
  <si>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</si>
  <si>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</si>
  <si>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</si>
  <si>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</si>
  <si>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</si>
  <si>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</si>
  <si>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</si>
  <si>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</si>
  <si>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</si>
  <si>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</si>
  <si>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</si>
  <si>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</si>
  <si>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</si>
  <si>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</si>
  <si>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</si>
  <si>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</si>
  <si>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</si>
  <si>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</si>
  <si>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</si>
  <si>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</si>
  <si>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</si>
  <si>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</si>
  <si>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</si>
  <si>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</si>
  <si>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</si>
  <si>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</si>
  <si>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</si>
  <si>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</si>
  <si>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</si>
  <si>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</si>
  <si>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</si>
  <si>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</si>
  <si>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</si>
  <si>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</si>
  <si>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</si>
  <si>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</si>
  <si>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</si>
  <si>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</si>
  <si>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</si>
  <si>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</si>
  <si>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</si>
  <si>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</si>
  <si>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</si>
  <si>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</si>
  <si>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</si>
  <si>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</si>
  <si>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</si>
  <si>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</si>
  <si>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</si>
  <si>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</si>
  <si>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</si>
  <si>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</si>
  <si>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</si>
  <si>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</si>
  <si>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</si>
  <si>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</si>
  <si>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</si>
  <si>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</si>
  <si>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</si>
  <si>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</si>
  <si>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</si>
  <si>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</si>
  <si>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</si>
  <si>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</si>
  <si>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</si>
  <si>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</si>
  <si>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</si>
  <si>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</si>
  <si>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</si>
  <si>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</si>
  <si>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</si>
  <si>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</si>
  <si>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</si>
  <si>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</si>
  <si>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</si>
  <si>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</si>
  <si>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</si>
  <si>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</si>
  <si>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</si>
  <si>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</si>
  <si>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</si>
  <si>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</si>
  <si>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</si>
  <si>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</si>
  <si>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</si>
  <si>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</si>
  <si>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</si>
  <si>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</si>
  <si>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</si>
  <si>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</si>
  <si>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</si>
  <si>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</si>
  <si>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</si>
  <si>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</si>
  <si>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</si>
  <si>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</si>
  <si>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</si>
  <si>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</si>
  <si>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</si>
  <si>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</si>
  <si>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</si>
  <si>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</si>
  <si>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</si>
  <si>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</si>
  <si>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</si>
  <si>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</si>
  <si>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</si>
  <si>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</si>
  <si>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</si>
  <si>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</si>
  <si>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</si>
  <si>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</si>
  <si>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</si>
  <si>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</si>
  <si>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</si>
  <si>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</si>
  <si>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</si>
  <si>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</si>
  <si>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</si>
  <si>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</si>
  <si>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</si>
  <si>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</si>
  <si>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</si>
  <si>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</si>
  <si>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</si>
  <si>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</si>
  <si>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</si>
  <si>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</si>
  <si>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</si>
  <si>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</si>
  <si>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</si>
  <si>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</si>
  <si>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</si>
  <si>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</si>
  <si>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</si>
  <si>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</si>
  <si>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</si>
  <si>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</si>
  <si>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</si>
  <si>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</si>
  <si>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</si>
  <si>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</si>
  <si>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</si>
  <si>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</si>
  <si>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</si>
  <si>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</si>
  <si>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</si>
  <si>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</si>
  <si>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</si>
  <si>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</si>
  <si>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</si>
  <si>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</si>
  <si>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</si>
  <si>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</si>
  <si>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</si>
  <si>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</si>
  <si>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</si>
  <si>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</si>
  <si>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</si>
  <si>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</si>
  <si>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</si>
  <si>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</si>
  <si>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</si>
  <si>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</si>
  <si>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</si>
  <si>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</si>
  <si>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</si>
  <si>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</si>
  <si>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</si>
  <si>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</si>
  <si>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</si>
  <si>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</si>
  <si>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</si>
  <si>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</si>
  <si>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</si>
  <si>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</si>
  <si>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</si>
  <si>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</si>
  <si>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</si>
  <si>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</si>
  <si>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</si>
  <si>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</si>
  <si>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</si>
  <si>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</si>
  <si>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</si>
  <si>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</si>
  <si>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</si>
  <si>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</si>
  <si>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</si>
  <si>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</si>
  <si>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</si>
  <si>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</si>
  <si>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</si>
  <si>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</si>
  <si>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</si>
  <si>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</si>
  <si>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</si>
  <si>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</si>
  <si>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</si>
  <si>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</si>
  <si>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</si>
  <si>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</si>
  <si>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</si>
  <si>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</si>
  <si>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</si>
  <si>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</si>
  <si>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</si>
  <si>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</si>
  <si>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</si>
  <si>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</si>
  <si>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</si>
  <si>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</si>
  <si>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</si>
  <si>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</si>
  <si>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</si>
  <si>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</si>
  <si>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</si>
  <si>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</si>
  <si>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</si>
  <si>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</si>
  <si>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</si>
  <si>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</si>
  <si>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</si>
  <si>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</si>
  <si>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</si>
  <si>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</si>
  <si>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</si>
  <si>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</si>
  <si>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</si>
  <si>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</si>
  <si>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</si>
  <si>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</si>
  <si>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</si>
  <si>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</si>
  <si>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</si>
  <si>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</si>
  <si>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</si>
  <si>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</si>
  <si>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</si>
  <si>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</si>
  <si>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</si>
  <si>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</si>
  <si>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</si>
  <si>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</si>
  <si>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</si>
  <si>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</si>
  <si>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</si>
  <si>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</si>
  <si>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</si>
  <si>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</si>
  <si>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</si>
  <si>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</si>
  <si>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</si>
  <si>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</si>
  <si>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</si>
  <si>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</si>
  <si>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</si>
  <si>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</si>
  <si>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</si>
  <si>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</si>
  <si>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</si>
  <si>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</si>
  <si>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</si>
  <si>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</si>
  <si>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</si>
  <si>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</si>
  <si>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</si>
  <si>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</si>
  <si>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</si>
  <si>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</si>
  <si>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</si>
  <si>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</si>
  <si>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</si>
  <si>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</si>
  <si>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</si>
  <si>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</si>
  <si>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</si>
  <si>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</si>
  <si>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</si>
  <si>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</si>
  <si>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</si>
  <si>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</si>
  <si>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</si>
  <si>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</si>
  <si>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</si>
  <si>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</si>
  <si>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</si>
  <si>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</si>
  <si>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</si>
  <si>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</si>
  <si>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</si>
  <si>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</si>
  <si>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</si>
  <si>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</si>
  <si>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</si>
  <si>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</si>
  <si>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</si>
  <si>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</si>
  <si>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</si>
  <si>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</si>
  <si>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</si>
  <si>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</si>
  <si>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</si>
  <si>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</si>
  <si>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</si>
  <si>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</si>
  <si>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</si>
  <si>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</si>
  <si>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</si>
  <si>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</si>
  <si>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</si>
  <si>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</si>
  <si>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</si>
  <si>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</si>
  <si>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</si>
  <si>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</si>
  <si>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</si>
  <si>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</si>
  <si>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</si>
  <si>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</si>
  <si>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</si>
  <si>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</si>
  <si>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</si>
  <si>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</si>
  <si>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</si>
  <si>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</si>
  <si>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</si>
  <si>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</si>
  <si>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</si>
  <si>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</si>
  <si>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</si>
  <si>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</si>
  <si>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</si>
  <si>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</si>
  <si>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</si>
  <si>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</si>
  <si>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</si>
  <si>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</si>
  <si>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</si>
  <si>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</si>
  <si>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</si>
  <si>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</si>
  <si>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</si>
  <si>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</si>
  <si>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</si>
  <si>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</si>
  <si>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</si>
  <si>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</si>
  <si>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</si>
  <si>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</si>
  <si>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</si>
  <si>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</si>
  <si>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</si>
  <si>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</si>
  <si>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</si>
  <si>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</si>
  <si>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</si>
  <si>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</si>
  <si>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</si>
  <si>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</si>
  <si>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</si>
  <si>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</si>
  <si>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</si>
  <si>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</si>
  <si>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</si>
  <si>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</si>
  <si>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</si>
  <si>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</si>
  <si>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</si>
  <si>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</si>
  <si>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</si>
  <si>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</si>
  <si>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</si>
  <si>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</si>
  <si>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</si>
  <si>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</si>
  <si>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</si>
  <si>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</si>
  <si>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</si>
  <si>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</si>
  <si>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</si>
  <si>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</si>
  <si>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</si>
  <si>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</si>
  <si>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</si>
  <si>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</si>
  <si>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</si>
  <si>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</si>
  <si>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</si>
  <si>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</si>
  <si>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</si>
  <si>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</si>
  <si>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</si>
  <si>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</si>
  <si>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</si>
  <si>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</si>
  <si>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</si>
  <si>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</si>
  <si>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</si>
  <si>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</si>
  <si>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</si>
  <si>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</si>
  <si>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</si>
  <si>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</si>
  <si>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</si>
  <si>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</si>
  <si>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</si>
  <si>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</si>
  <si>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</si>
  <si>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</si>
  <si>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</si>
  <si>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</si>
  <si>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</si>
  <si>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</si>
  <si>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</si>
  <si>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</si>
  <si>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</si>
  <si>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</si>
  <si>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</si>
  <si>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</si>
  <si>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</si>
  <si>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</si>
  <si>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</si>
  <si>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</si>
  <si>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</si>
  <si>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</si>
  <si>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</si>
  <si>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</si>
  <si>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</si>
  <si>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</si>
  <si>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</si>
  <si>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</si>
  <si>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</si>
  <si>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</si>
  <si>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</si>
  <si>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</si>
  <si>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</si>
  <si>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</si>
  <si>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</si>
  <si>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</si>
  <si>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</si>
  <si>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</si>
  <si>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</si>
  <si>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</si>
  <si>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</si>
  <si>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</si>
  <si>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</si>
  <si>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</si>
  <si>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</si>
  <si>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</si>
  <si>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</si>
  <si>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</si>
  <si>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</si>
  <si>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</si>
  <si>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</si>
  <si>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</si>
  <si>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</si>
  <si>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</si>
  <si>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</si>
  <si>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</si>
  <si>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</si>
  <si>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</si>
  <si>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</si>
  <si>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</si>
  <si>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</si>
  <si>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</si>
  <si>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</si>
  <si>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</si>
  <si>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</si>
  <si>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</si>
  <si>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</si>
  <si>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</si>
  <si>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</si>
  <si>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</si>
  <si>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</si>
  <si>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</si>
  <si>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</si>
  <si>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</si>
  <si>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</si>
  <si>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</si>
  <si>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</si>
  <si>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</si>
  <si>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</si>
  <si>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</si>
  <si>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</si>
  <si>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</si>
  <si>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</si>
  <si>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</si>
  <si>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</si>
  <si>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</si>
  <si>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</si>
  <si>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</si>
  <si>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</si>
  <si>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</si>
  <si>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</si>
  <si>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</si>
  <si>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</si>
  <si>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</si>
  <si>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</si>
  <si>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</si>
  <si>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</si>
  <si>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</si>
  <si>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</si>
  <si>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</si>
  <si>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</si>
  <si>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</si>
  <si>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</si>
  <si>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</si>
  <si>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</si>
  <si>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</si>
  <si>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</si>
  <si>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</si>
  <si>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</si>
  <si>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</si>
  <si>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</si>
  <si>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</si>
  <si>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</si>
  <si>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</si>
  <si>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</si>
  <si>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</si>
  <si>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</si>
  <si>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</si>
  <si>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</si>
  <si>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</si>
  <si>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</si>
  <si>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</si>
  <si>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</si>
  <si>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</si>
  <si>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</si>
  <si>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</si>
  <si>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</si>
  <si>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</si>
  <si>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</si>
  <si>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</si>
  <si>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</si>
  <si>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</si>
  <si>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</si>
  <si>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</si>
  <si>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</si>
  <si>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</si>
  <si>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</si>
  <si>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</si>
  <si>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</si>
  <si>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</si>
  <si>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</si>
  <si>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</si>
  <si>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</si>
  <si>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</si>
  <si>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</si>
  <si>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</si>
  <si>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</si>
  <si>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</si>
  <si>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</si>
  <si>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</si>
  <si>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</si>
  <si>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</si>
  <si>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</si>
  <si>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</si>
  <si>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</si>
  <si>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</si>
  <si>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</si>
  <si>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</si>
  <si>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</si>
  <si>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</si>
  <si>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</si>
  <si>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</si>
  <si>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</si>
  <si>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</si>
  <si>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</si>
  <si>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</si>
  <si>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</si>
  <si>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</si>
  <si>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</si>
  <si>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</si>
  <si>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</si>
  <si>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</si>
  <si>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</si>
  <si>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</si>
  <si>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</si>
  <si>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</si>
  <si>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</si>
  <si>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</si>
  <si>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</si>
  <si>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</si>
  <si>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</si>
  <si>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</si>
  <si>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</si>
  <si>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</si>
  <si>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</si>
  <si>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</si>
  <si>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</si>
  <si>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</si>
  <si>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</si>
  <si>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</si>
  <si>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</si>
  <si>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</si>
  <si>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</si>
  <si>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</si>
  <si>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</si>
  <si>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</si>
  <si>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</si>
  <si>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</si>
  <si>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</si>
  <si>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</si>
  <si>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</si>
  <si>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</si>
  <si>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</si>
  <si>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</si>
  <si>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</si>
  <si>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</si>
  <si>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</si>
  <si>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</si>
  <si>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</si>
  <si>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</si>
  <si>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</si>
  <si>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</si>
  <si>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</si>
  <si>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</si>
  <si>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</si>
  <si>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</si>
  <si>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</si>
  <si>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</si>
  <si>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</si>
  <si>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</si>
  <si>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</si>
  <si>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</si>
  <si>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</si>
  <si>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</si>
  <si>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</si>
  <si>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</si>
  <si>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</si>
  <si>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</si>
  <si>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</si>
  <si>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</si>
  <si>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</si>
  <si>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</si>
  <si>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</si>
  <si>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</si>
  <si>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</si>
  <si>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</si>
  <si>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</si>
  <si>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</si>
  <si>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</si>
  <si>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</si>
  <si>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</si>
  <si>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</si>
  <si>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</si>
  <si>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</si>
  <si>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</si>
  <si>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</si>
  <si>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</si>
  <si>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</si>
  <si>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</si>
  <si>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</si>
  <si>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</si>
  <si>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</si>
  <si>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</si>
  <si>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</si>
  <si>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</si>
  <si>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</si>
  <si>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</si>
  <si>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</si>
  <si>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</si>
  <si>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</si>
  <si>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</si>
  <si>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</si>
  <si>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</si>
  <si>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</si>
  <si>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</si>
  <si>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</si>
  <si>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</si>
  <si>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</si>
  <si>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</si>
  <si>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</si>
  <si>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</si>
  <si>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</si>
  <si>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</si>
  <si>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</si>
  <si>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</si>
  <si>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</si>
  <si>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</si>
  <si>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</si>
  <si>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</si>
  <si>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</si>
  <si>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</si>
  <si>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</si>
  <si>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</si>
  <si>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</si>
  <si>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</si>
  <si>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</si>
  <si>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</si>
  <si>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</si>
  <si>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</si>
  <si>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</si>
  <si>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</si>
  <si>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</si>
  <si>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</si>
  <si>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</si>
  <si>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</si>
  <si>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</si>
  <si>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</si>
  <si>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</si>
  <si>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</si>
  <si>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</si>
  <si>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</si>
  <si>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</si>
  <si>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</si>
  <si>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</si>
  <si>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</si>
  <si>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</si>
  <si>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</si>
  <si>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</si>
  <si>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</si>
  <si>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</si>
  <si>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</si>
  <si>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</si>
  <si>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</si>
  <si>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</si>
  <si>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</si>
  <si>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</si>
  <si>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</si>
  <si>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</si>
  <si>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</si>
  <si>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</si>
  <si>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</si>
  <si>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</si>
  <si>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</si>
  <si>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</si>
  <si>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</si>
  <si>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</si>
  <si>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</si>
  <si>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</si>
  <si>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</si>
  <si>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</si>
  <si>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</si>
  <si>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</si>
  <si>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</si>
  <si>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</si>
  <si>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</si>
  <si>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</si>
  <si>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</si>
  <si>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</si>
  <si>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</si>
  <si>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</si>
  <si>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</si>
  <si>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</si>
  <si>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</si>
  <si>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</si>
  <si>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</si>
  <si>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</si>
  <si>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</si>
  <si>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</si>
  <si>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</si>
  <si>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</si>
  <si>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</si>
  <si>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</si>
  <si>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</si>
  <si>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</si>
  <si>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</si>
  <si>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</si>
  <si>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</si>
  <si>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</si>
  <si>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</si>
  <si>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</si>
  <si>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</si>
  <si>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</si>
  <si>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</si>
  <si>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</si>
  <si>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</si>
  <si>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</si>
  <si>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</si>
  <si>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</si>
  <si>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</si>
  <si>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</si>
  <si>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</si>
  <si>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</si>
  <si>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</si>
  <si>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</si>
  <si>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</si>
  <si>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</si>
  <si>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</si>
  <si>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</si>
  <si>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</si>
  <si>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</si>
  <si>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</si>
  <si>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</si>
  <si>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</si>
  <si>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</si>
  <si>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</si>
  <si>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</si>
  <si>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šípky - bežné transfery</t>
  </si>
  <si>
    <t>V-2025-001</t>
  </si>
  <si>
    <t>250001</t>
  </si>
  <si>
    <t>1622025</t>
  </si>
  <si>
    <t>V-2025-002</t>
  </si>
  <si>
    <t>V-2025-003</t>
  </si>
  <si>
    <t>2722025</t>
  </si>
  <si>
    <t>Nájomné sídla zväzu 1-2025</t>
  </si>
  <si>
    <t>Nájomné sídla zväzu 2-2025</t>
  </si>
  <si>
    <t>FAMS s.r.o.</t>
  </si>
  <si>
    <t>36212911</t>
  </si>
  <si>
    <t>V-2025-004</t>
  </si>
  <si>
    <t>Bankový poplatok za vedenie účtu</t>
  </si>
  <si>
    <t>Slovenská Sporiteľňa</t>
  </si>
  <si>
    <t>00151653</t>
  </si>
  <si>
    <t>30042025</t>
  </si>
  <si>
    <t>1012525</t>
  </si>
  <si>
    <t>V-2025-005</t>
  </si>
  <si>
    <t>Ubytovanie rozhodcov MSR v elektronických šípkach , Tatranská Lomnica 25.27.4.2025</t>
  </si>
  <si>
    <t>17115426</t>
  </si>
  <si>
    <t>Peter Simčák - SIMI</t>
  </si>
  <si>
    <t>V-2025-006</t>
  </si>
  <si>
    <t>V-2025-007</t>
  </si>
  <si>
    <t>3862025</t>
  </si>
  <si>
    <t>4972025</t>
  </si>
  <si>
    <t>Nájomné sídla zväzu 4-2025</t>
  </si>
  <si>
    <t>Nájomné sídla zväzu 5-2025</t>
  </si>
  <si>
    <t>V-2025-008</t>
  </si>
  <si>
    <t>LProduction touring s. r. o.</t>
  </si>
  <si>
    <t>56413955</t>
  </si>
  <si>
    <t>2025260401</t>
  </si>
  <si>
    <t>004052025</t>
  </si>
  <si>
    <t>OMEGA AEB s.r.o.</t>
  </si>
  <si>
    <t>V-2025-009</t>
  </si>
  <si>
    <t>Technické zabezpečenie Majstrovstiev Slovenska v elektronických šípkach 25.-27.4.2025 - osvetlenie , moderovanie, svetelné  efekty</t>
  </si>
  <si>
    <t>Služby fotografa Majstrovstvá Slovenska v elektronických šípkach 25.-27.4.2026</t>
  </si>
  <si>
    <t>Peter Jakubis, Pavol Kočík, Martin Brindzko, Marcel Miklík, Alex Mjartan, Dominik Kočík, Bibiána Bugyiová, Nika Andrejkovičová</t>
  </si>
  <si>
    <t>De Bonte Wever Assen</t>
  </si>
  <si>
    <t>NL8056.10.558.B.01</t>
  </si>
  <si>
    <t>1073088</t>
  </si>
  <si>
    <t>V-2025-010</t>
  </si>
  <si>
    <t>V-2025-011</t>
  </si>
  <si>
    <t>30052025</t>
  </si>
  <si>
    <t>V-2025-012</t>
  </si>
  <si>
    <t>Slovamax s.r.o.</t>
  </si>
  <si>
    <t>Web priestor slovaksteeldarts.sk</t>
  </si>
  <si>
    <t>45448761</t>
  </si>
  <si>
    <t>20132731</t>
  </si>
  <si>
    <t>V-2025-013</t>
  </si>
  <si>
    <t>6092025</t>
  </si>
  <si>
    <t>Nájomné sídla zväzu 6-2025</t>
  </si>
  <si>
    <t>V-2025-014</t>
  </si>
  <si>
    <t>V-2025-015</t>
  </si>
  <si>
    <t>V-2025-016</t>
  </si>
  <si>
    <t>2025006</t>
  </si>
  <si>
    <t>2025008</t>
  </si>
  <si>
    <t>2025009</t>
  </si>
  <si>
    <t>Ing. Lucia Černá</t>
  </si>
  <si>
    <t>Administratívne služby 1-3 2025</t>
  </si>
  <si>
    <t>Administratívne služby 4 2025</t>
  </si>
  <si>
    <t>Administratívne služby 5 2025</t>
  </si>
  <si>
    <t>56738692</t>
  </si>
  <si>
    <t>V-2025-017</t>
  </si>
  <si>
    <t>36208451</t>
  </si>
  <si>
    <t>PROGRESS CA s.r.o.</t>
  </si>
  <si>
    <t>Letenky pre výpravu YOUTH CUP ASSEN : Peter Jakubis, Pavol Kočík, Martin Brindzko, Marcel Miklík, Alex Mjartan, Dominik Kočík, Bibiána Bugyiová, Nika Andrejkovičová</t>
  </si>
  <si>
    <t>202570275</t>
  </si>
  <si>
    <t>V-2025-018</t>
  </si>
  <si>
    <t>Obec Teplý Vrch</t>
  </si>
  <si>
    <t>Prenájom sály Kultúrneho domu Slovenský pohár 6.-8.6.2025</t>
  </si>
  <si>
    <t>00319147</t>
  </si>
  <si>
    <t>Relax Dart s.r.o.</t>
  </si>
  <si>
    <t>V-2025-019</t>
  </si>
  <si>
    <t>250006</t>
  </si>
  <si>
    <t>V-2025-020</t>
  </si>
  <si>
    <t>Ing. Ján Hirčko</t>
  </si>
  <si>
    <t>Cestovné výdavky rozhodcovia Majstrovstiev Slovenska v elektronických šípkach 25.-27.4.2025</t>
  </si>
  <si>
    <t>Služby a technické zabezpečenie Majstrovstiev Slovenska v elektronických šípkach 25.-27.4.2025. Dovoz a príprava súťažných prístrojov, setup haly, servisný technik</t>
  </si>
  <si>
    <t>47087285</t>
  </si>
  <si>
    <t>V-2025-021</t>
  </si>
  <si>
    <t xml:space="preserve">Služby a technické vybavenie Slovenský pohár Teplý Vrch 6.-8.6.2025. Doprava súťažných prístrojov, setup haly, technik </t>
  </si>
  <si>
    <t>250008</t>
  </si>
  <si>
    <t>20251387</t>
  </si>
  <si>
    <t>GRYF Reklamné štúdio</t>
  </si>
  <si>
    <t>Reklamná kampaň - billboardy : Majstrovstiev Slovenska v elektronických šípkach 25.-27.4.2025</t>
  </si>
  <si>
    <t>V-2025-022</t>
  </si>
  <si>
    <t>V-2025-024</t>
  </si>
  <si>
    <t>30062025</t>
  </si>
  <si>
    <t>Bohemiasoft s.r.o.</t>
  </si>
  <si>
    <t>45939187</t>
  </si>
  <si>
    <t>28090403</t>
  </si>
  <si>
    <t>42139929</t>
  </si>
  <si>
    <t>Mestský klub v elektronických šípkach Nováky</t>
  </si>
  <si>
    <t>52396347</t>
  </si>
  <si>
    <t>DC Nové Zámky</t>
  </si>
  <si>
    <t>42201047</t>
  </si>
  <si>
    <t>DC Nitra</t>
  </si>
  <si>
    <t>44842538</t>
  </si>
  <si>
    <t>DC Levice</t>
  </si>
  <si>
    <t>53187831</t>
  </si>
  <si>
    <t>DC Vištuk</t>
  </si>
  <si>
    <t>53163923</t>
  </si>
  <si>
    <t>AD Darts Hlohovec</t>
  </si>
  <si>
    <t>54217873</t>
  </si>
  <si>
    <t>DC Poprad</t>
  </si>
  <si>
    <t>56040334</t>
  </si>
  <si>
    <t>DC Topoľčianky</t>
  </si>
  <si>
    <t>56439750</t>
  </si>
  <si>
    <t>JPR Darts Klub Spišská Nová Ves</t>
  </si>
  <si>
    <t>V-2025-068</t>
  </si>
  <si>
    <t>09122025</t>
  </si>
  <si>
    <t>V-2025-069</t>
  </si>
  <si>
    <t>V-2025-070</t>
  </si>
  <si>
    <t>V-2025-071</t>
  </si>
  <si>
    <t>V-2025-072</t>
  </si>
  <si>
    <t>V-2025-073</t>
  </si>
  <si>
    <t>V-2025-074</t>
  </si>
  <si>
    <t>V-2025-075</t>
  </si>
  <si>
    <t>V-2025-076</t>
  </si>
  <si>
    <t>V-2025-025</t>
  </si>
  <si>
    <t>202570325</t>
  </si>
  <si>
    <t>Letenky Svetový pohár dospelí Južná Kórea 23.-29.9.2025  : František Šulc, Katarína Nagyová, Lucia Jankovská, Martina Sulovská, Mária Kormančíková, Ľuboš Pivarč, Matej Homola, Štefan Hájek, Vladimír Zaťko</t>
  </si>
  <si>
    <t>V-2025-26</t>
  </si>
  <si>
    <t>2025070301</t>
  </si>
  <si>
    <t>Pobyt Svetový pohár dospelí Južná Kórea 23.-29.9.2025 František Šulc, Katarína Nagyová, Lucia Jankovská, Martina Sulovská, Mária Kormančíková, Ľuboš Pivarč, Matej Homola, Štefan Hájek, Vladimír Zaťko</t>
  </si>
  <si>
    <t>Professional Darts Korea Co., Ltd</t>
  </si>
  <si>
    <t>V-2025-037</t>
  </si>
  <si>
    <t>250133</t>
  </si>
  <si>
    <t>Zraz reprezentantov Divoká Voda s.r.o. : František Šulc, Katarína Nagyová, Lucia Jankovská, Martina Sulovská, Mária Kormančíková, Ľuboš Pivarč, Matej Homola, Štefan Hájek, Vladimír Zaťko</t>
  </si>
  <si>
    <t>35828170</t>
  </si>
  <si>
    <t>Divoká Voda s.r.o.</t>
  </si>
  <si>
    <t>V-2025-041</t>
  </si>
  <si>
    <t>202509021</t>
  </si>
  <si>
    <t>V-2025-043</t>
  </si>
  <si>
    <t>202509566</t>
  </si>
  <si>
    <t>Transfer reprezentantov Letisko Viedeň František Šulc, Katarína Nagyová, Lucia Jankovská, Martina Sulovská, Mária Kormančíková, Ľuboš Pivarč, Matej Homola, Štefan Hájek, Vladimír Zaťko</t>
  </si>
  <si>
    <t>45420360</t>
  </si>
  <si>
    <t>Transfer Servis s.r.o.</t>
  </si>
  <si>
    <t>prenájom web priestoru za webovú prezentáciu www.slovakiadart.sk - čiastočná úhrade-dvojitý účel použitia</t>
  </si>
  <si>
    <t>V-2025-023-1</t>
  </si>
  <si>
    <t>12504983</t>
  </si>
  <si>
    <t>Príspevok pre kluby pracujúce s mládežou : Nákup športových potrieb</t>
  </si>
  <si>
    <t>Príspevok pre kluby pracujúce s mládežou : Nájomné klubových priestorov, nákup športových potrieb</t>
  </si>
  <si>
    <t>Príspevok pre kluby pracujúce s mládežou - kategória STEEL : Nákup športových potrieb</t>
  </si>
  <si>
    <t>Príspevok pre kluby pracujúce s mládežou - kategória STEEL : Nákup športových potrieb, zapisovacích tabletov, trofejí</t>
  </si>
  <si>
    <t>Príspevok pre kluby pracujúce s mládežou - kategória STEEL : Nájomné klubových priestorov, šípkarské terče, trofeje</t>
  </si>
  <si>
    <t>Príspevok pre kluby pracujúce s mládežou - kategória STEEL : Nákup športových potrieb a športového oblečenia</t>
  </si>
  <si>
    <t>Príspevok pre kluby pracujúce s mládežou - kategória STEEL : Ubytovanie hráčov počas turnaja</t>
  </si>
  <si>
    <t>Príspevok pre kluby pracujúce s mládežou - kategória STEEL časť - 1 : Nájom klubových priestorov, šípkarské terče, športové trofeje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</si>
</sst>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5">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83" val="6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25" zoomScaleNormal="100" workbookViewId="0"/>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8" t="s">
        <v>0</v>
      </c>
      <c r="C1" s="316"/>
      <c r="D1" s="316"/>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5"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5" customHeight="1" x14ac:dyDescent="0.25">
      <c r="A12" s="304" t="s">
        <v>1379</v>
      </c>
      <c r="C12" s="205"/>
      <c r="D12" s="205"/>
    </row>
    <row r="13" spans="1:4" s="18" customFormat="1" ht="23.5" customHeight="1" x14ac:dyDescent="0.25">
      <c r="A13" s="309"/>
      <c r="C13" s="205"/>
      <c r="D13" s="205"/>
    </row>
    <row r="14" spans="1:4" s="18" customFormat="1" ht="17.5" x14ac:dyDescent="0.25">
      <c r="A14" s="310" t="s">
        <v>5</v>
      </c>
      <c r="C14" s="205"/>
      <c r="D14" s="205"/>
    </row>
    <row r="15" spans="1:4" ht="16.399999999999999" customHeight="1" x14ac:dyDescent="0.25">
      <c r="A15" s="127"/>
      <c r="C15" s="21"/>
    </row>
    <row r="16" spans="1:4" ht="303" x14ac:dyDescent="0.25">
      <c r="A16" s="298" t="s">
        <v>6</v>
      </c>
      <c r="C16" s="21"/>
    </row>
    <row r="17" spans="1:4" ht="17.5" customHeight="1" x14ac:dyDescent="0.25">
      <c r="A17" s="21"/>
      <c r="C17" s="21"/>
    </row>
    <row r="18" spans="1:4" ht="226.4" customHeight="1" x14ac:dyDescent="0.25">
      <c r="A18" s="298" t="s">
        <v>7</v>
      </c>
      <c r="B18" s="257"/>
      <c r="C18" s="21"/>
    </row>
    <row r="19" spans="1:4" ht="30.65" customHeight="1" x14ac:dyDescent="0.25">
      <c r="A19" s="21"/>
      <c r="B19" s="257"/>
      <c r="C19" s="21"/>
    </row>
    <row r="20" spans="1:4" ht="26.25" customHeight="1" x14ac:dyDescent="0.25">
      <c r="A20" s="299" t="s">
        <v>8</v>
      </c>
      <c r="C20" s="21"/>
    </row>
    <row r="21" spans="1:4" ht="38" x14ac:dyDescent="0.25">
      <c r="A21" s="19" t="s">
        <v>9</v>
      </c>
      <c r="C21" s="317"/>
      <c r="D21" s="317"/>
    </row>
    <row r="22" spans="1:4" x14ac:dyDescent="0.25">
      <c r="C22" s="318"/>
      <c r="D22" s="317"/>
    </row>
    <row r="23" spans="1:4" ht="64" x14ac:dyDescent="0.25">
      <c r="A23" s="23" t="s">
        <v>1380</v>
      </c>
      <c r="C23" s="255"/>
      <c r="D23" s="256"/>
    </row>
    <row r="24" spans="1:4" ht="12.75" customHeight="1" x14ac:dyDescent="0.25">
      <c r="C24" s="314"/>
      <c r="D24" s="315"/>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1361</v>
      </c>
    </row>
    <row r="32" spans="1:4" ht="12.65" customHeight="1" x14ac:dyDescent="0.25"/>
    <row r="33" spans="1:3" ht="15.75" customHeight="1" x14ac:dyDescent="0.25">
      <c r="A33" s="19" t="s">
        <v>1362</v>
      </c>
    </row>
    <row r="34" spans="1:3" ht="12.65" customHeight="1" x14ac:dyDescent="0.25"/>
    <row r="35" spans="1:3" ht="52" x14ac:dyDescent="0.25">
      <c r="A35" s="19" t="s">
        <v>1364</v>
      </c>
    </row>
    <row r="36" spans="1:3" ht="12" customHeight="1" x14ac:dyDescent="0.25"/>
    <row r="37" spans="1:3" ht="25.5" x14ac:dyDescent="0.25">
      <c r="A37" s="271" t="s">
        <v>1363</v>
      </c>
    </row>
    <row r="39" spans="1:3" ht="77" x14ac:dyDescent="0.25">
      <c r="A39" s="23" t="s">
        <v>1365</v>
      </c>
    </row>
    <row r="40" spans="1:3" ht="12.75" customHeight="1" x14ac:dyDescent="0.25"/>
    <row r="41" spans="1:3" ht="26"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5" customHeight="1" x14ac:dyDescent="0.25">
      <c r="A46" s="301" t="s">
        <v>15</v>
      </c>
      <c r="C46" s="22"/>
    </row>
    <row r="47" spans="1:3" ht="11.5" customHeight="1" x14ac:dyDescent="0.25"/>
    <row r="48" spans="1:3" ht="13" x14ac:dyDescent="0.25">
      <c r="A48" s="302" t="s">
        <v>1367</v>
      </c>
    </row>
    <row r="49" spans="1:1" ht="12" customHeight="1" x14ac:dyDescent="0.25"/>
    <row r="50" spans="1:1" ht="39" x14ac:dyDescent="0.25">
      <c r="A50" s="19" t="s">
        <v>1368</v>
      </c>
    </row>
    <row r="51" spans="1:1" ht="12.75" customHeight="1" x14ac:dyDescent="0.25"/>
    <row r="52" spans="1:1" ht="75.5" x14ac:dyDescent="0.25">
      <c r="A52" s="19" t="s">
        <v>1369</v>
      </c>
    </row>
    <row r="53" spans="1:1" ht="12.75" customHeight="1" x14ac:dyDescent="0.25"/>
    <row r="54" spans="1:1" ht="38.5" x14ac:dyDescent="0.25">
      <c r="A54" s="19" t="s">
        <v>1370</v>
      </c>
    </row>
    <row r="56" spans="1:1" ht="13" x14ac:dyDescent="0.25">
      <c r="A56" s="19" t="s">
        <v>16</v>
      </c>
    </row>
    <row r="58" spans="1:1" ht="13" x14ac:dyDescent="0.25">
      <c r="A58" s="19" t="s">
        <v>17</v>
      </c>
    </row>
    <row r="60" spans="1:1" ht="121.75" customHeight="1" x14ac:dyDescent="0.25">
      <c r="A60" s="23" t="s">
        <v>1371</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1372</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11" t="s">
        <v>1390</v>
      </c>
    </row>
    <row r="73" spans="1:1" ht="37.5" x14ac:dyDescent="0.25">
      <c r="A73" s="23" t="s">
        <v>1391</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5"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1381</v>
      </c>
    </row>
    <row r="96" spans="1:2" x14ac:dyDescent="0.25">
      <c r="A96" s="23"/>
    </row>
    <row r="97" spans="1:4" ht="13" x14ac:dyDescent="0.25">
      <c r="A97" s="260" t="s">
        <v>40</v>
      </c>
    </row>
    <row r="98" spans="1:4" ht="68.5" customHeight="1" x14ac:dyDescent="0.25">
      <c r="A98" s="23" t="s">
        <v>1382</v>
      </c>
    </row>
    <row r="99" spans="1:4" x14ac:dyDescent="0.25">
      <c r="A99" s="23"/>
    </row>
    <row r="100" spans="1:4" ht="13" x14ac:dyDescent="0.25">
      <c r="A100" s="260" t="s">
        <v>41</v>
      </c>
    </row>
    <row r="101" spans="1:4" ht="75.5" x14ac:dyDescent="0.25">
      <c r="A101" s="23" t="s">
        <v>1383</v>
      </c>
    </row>
    <row r="102" spans="1:4" x14ac:dyDescent="0.25">
      <c r="A102" s="23"/>
    </row>
    <row r="103" spans="1:4" ht="13" x14ac:dyDescent="0.25">
      <c r="A103" s="297" t="s">
        <v>42</v>
      </c>
    </row>
    <row r="104" spans="1:4" ht="50.5" x14ac:dyDescent="0.25">
      <c r="A104" s="23" t="s">
        <v>1384</v>
      </c>
    </row>
    <row r="105" spans="1:4" x14ac:dyDescent="0.25">
      <c r="A105" s="23"/>
      <c r="B105" s="20" t="s">
        <v>43</v>
      </c>
    </row>
    <row r="106" spans="1:4" ht="13" x14ac:dyDescent="0.25">
      <c r="A106" s="260" t="s">
        <v>44</v>
      </c>
    </row>
    <row r="107" spans="1:4" ht="71.25" customHeight="1" x14ac:dyDescent="0.25">
      <c r="A107" s="19" t="s">
        <v>1385</v>
      </c>
    </row>
    <row r="108" spans="1:4" ht="37.5" x14ac:dyDescent="0.25">
      <c r="A108" s="19" t="s">
        <v>1375</v>
      </c>
    </row>
    <row r="109" spans="1:4" ht="25" x14ac:dyDescent="0.25">
      <c r="A109" s="19" t="s">
        <v>45</v>
      </c>
    </row>
    <row r="110" spans="1:4" ht="10.5" customHeight="1" x14ac:dyDescent="0.25">
      <c r="D110" s="20" t="s">
        <v>43</v>
      </c>
    </row>
    <row r="111" spans="1:4" ht="99.75" customHeight="1" x14ac:dyDescent="0.25">
      <c r="A111" s="23" t="s">
        <v>1374</v>
      </c>
    </row>
    <row r="112" spans="1:4" ht="26" x14ac:dyDescent="0.25">
      <c r="A112" s="19" t="s">
        <v>1373</v>
      </c>
    </row>
    <row r="114" spans="1:2" ht="175" x14ac:dyDescent="0.25">
      <c r="A114" s="23" t="s">
        <v>1386</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ht="13" x14ac:dyDescent="0.25">
      <c r="A131" s="297" t="s">
        <v>56</v>
      </c>
    </row>
    <row r="132" spans="1:1" ht="40.75" customHeight="1" x14ac:dyDescent="0.25">
      <c r="A132" s="23" t="s">
        <v>1376</v>
      </c>
    </row>
    <row r="133" spans="1:1" ht="61.5" customHeight="1" x14ac:dyDescent="0.25">
      <c r="A133" s="303" t="s">
        <v>1388</v>
      </c>
    </row>
    <row r="134" spans="1:1" ht="13" x14ac:dyDescent="0.25">
      <c r="A134" s="260" t="s">
        <v>1389</v>
      </c>
    </row>
    <row r="135" spans="1:1" ht="101" x14ac:dyDescent="0.25">
      <c r="A135" s="303" t="s">
        <v>1377</v>
      </c>
    </row>
    <row r="136" spans="1:1" x14ac:dyDescent="0.25">
      <c r="A136"/>
    </row>
    <row r="137" spans="1:1" ht="71.5" customHeight="1" x14ac:dyDescent="0.25">
      <c r="A137" s="302" t="s">
        <v>1378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69" t="str">
        <f>Spolu!C3&amp;", "&amp;Spolu!C6</f>
        <v>Združenie šípkarských organizácií, Szakkayho 1, Košice, 040 01</v>
      </c>
      <c r="B1" s="369"/>
      <c r="C1" s="36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0" t="s">
        <v>1276</v>
      </c>
      <c r="F3" s="371"/>
      <c r="N3" s="137" t="str">
        <f t="shared" si="0"/>
        <v>c - príspevok Slovenskému paralympijskému výboru</v>
      </c>
      <c r="O3" s="137" t="s">
        <v>342</v>
      </c>
      <c r="P3" s="137" t="str">
        <f>Spolu!B19</f>
        <v>príspevok Slovenskému paralympijskému výboru</v>
      </c>
    </row>
    <row r="4" spans="1:16" ht="45.75" customHeight="1" x14ac:dyDescent="0.25">
      <c r="E4" s="371"/>
      <c r="F4" s="371"/>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1"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4"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4" customHeight="1" x14ac:dyDescent="0.25">
      <c r="A14" s="139" t="s">
        <v>1292</v>
      </c>
      <c r="B14" s="374" t="s">
        <v>1310</v>
      </c>
      <c r="C14" s="375"/>
      <c r="F14" s="313"/>
      <c r="N14" s="137" t="str">
        <f t="shared" si="0"/>
        <v xml:space="preserve">n - </v>
      </c>
      <c r="O14" s="137" t="s">
        <v>364</v>
      </c>
    </row>
    <row r="15" spans="1:16" ht="34.4" customHeight="1" x14ac:dyDescent="0.25">
      <c r="A15" s="139" t="s">
        <v>1311</v>
      </c>
      <c r="B15" s="374"/>
      <c r="C15" s="375"/>
      <c r="F15" s="377"/>
      <c r="N15" s="137" t="str">
        <f t="shared" si="0"/>
        <v xml:space="preserve">o - </v>
      </c>
      <c r="O15" s="137" t="s">
        <v>365</v>
      </c>
    </row>
    <row r="16" spans="1:16" x14ac:dyDescent="0.25">
      <c r="A16" s="139" t="s">
        <v>1295</v>
      </c>
      <c r="B16" s="142">
        <f>F8</f>
        <v>0</v>
      </c>
      <c r="C16" s="137"/>
      <c r="F16" s="377"/>
      <c r="N16" s="137" t="str">
        <f t="shared" si="0"/>
        <v xml:space="preserve">p - </v>
      </c>
      <c r="O16" s="137" t="s">
        <v>366</v>
      </c>
    </row>
    <row r="17" spans="1:16" ht="32.15" customHeight="1" x14ac:dyDescent="0.25">
      <c r="A17" s="139" t="s">
        <v>1298</v>
      </c>
      <c r="B17" s="142">
        <f>F9</f>
        <v>0</v>
      </c>
      <c r="C17" s="137"/>
      <c r="F17" s="377"/>
      <c r="N17" s="137" t="str">
        <f t="shared" si="0"/>
        <v xml:space="preserve">q - </v>
      </c>
      <c r="O17" s="137" t="s">
        <v>367</v>
      </c>
    </row>
    <row r="18" spans="1:16" ht="16" thickBot="1" x14ac:dyDescent="0.3">
      <c r="B18" s="193" t="s">
        <v>1312</v>
      </c>
      <c r="C18" s="194">
        <v>31</v>
      </c>
      <c r="N18" s="137" t="str">
        <f t="shared" si="0"/>
        <v xml:space="preserve">r - </v>
      </c>
      <c r="O18" s="137" t="s">
        <v>368</v>
      </c>
    </row>
    <row r="19" spans="1:16" x14ac:dyDescent="0.25">
      <c r="B19" s="193" t="s">
        <v>1300</v>
      </c>
      <c r="C19" s="142" t="str">
        <f>Spolu!C4</f>
        <v>35538015</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6" t="s">
        <v>1303</v>
      </c>
      <c r="C24" s="37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1316</v>
      </c>
    </row>
    <row r="2" spans="1:2" ht="30" customHeight="1" x14ac:dyDescent="0.25">
      <c r="A2" s="378" t="s">
        <v>1317</v>
      </c>
      <c r="B2" s="378"/>
    </row>
    <row r="3" spans="1:2" ht="13"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19" t="s">
        <v>57</v>
      </c>
      <c r="B1" s="319"/>
      <c r="C1" s="319"/>
      <c r="D1" s="319"/>
      <c r="E1" s="319"/>
      <c r="F1" s="319"/>
      <c r="G1" s="319"/>
      <c r="H1" s="319"/>
      <c r="I1" s="52"/>
      <c r="J1" s="37"/>
    </row>
    <row r="2" spans="1:11" ht="15.5" x14ac:dyDescent="0.35">
      <c r="A2" s="325" t="s">
        <v>58</v>
      </c>
      <c r="B2" s="325"/>
      <c r="C2" s="325"/>
      <c r="D2" s="325"/>
      <c r="E2" s="325"/>
      <c r="F2" s="325"/>
      <c r="G2" s="325"/>
      <c r="H2" s="323" t="str">
        <f>+Doklady!I100</f>
        <v>V2</v>
      </c>
      <c r="I2" s="323"/>
    </row>
    <row r="3" spans="1:11" ht="14" x14ac:dyDescent="0.3">
      <c r="A3" s="40"/>
      <c r="B3" s="40"/>
      <c r="C3" s="40"/>
      <c r="D3" s="40"/>
      <c r="E3" s="40"/>
      <c r="F3" s="40"/>
      <c r="G3" s="40"/>
      <c r="H3" s="324">
        <f>+Doklady!I101</f>
        <v>45887</v>
      </c>
      <c r="I3" s="324"/>
    </row>
    <row r="4" spans="1:11" ht="15.75" customHeight="1" x14ac:dyDescent="0.3">
      <c r="A4" s="41" t="s">
        <v>59</v>
      </c>
      <c r="B4" s="320" t="s">
        <v>60</v>
      </c>
      <c r="C4" s="321"/>
      <c r="D4" s="321"/>
      <c r="E4" s="322"/>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4" priority="2" stopIfTrue="1">
      <formula>$A78&lt;&gt;""</formula>
    </cfRule>
  </conditionalFormatting>
  <conditionalFormatting sqref="A8:I76 I78">
    <cfRule type="expression" dxfId="103" priority="7" stopIfTrue="1">
      <formula>$A8&lt;&gt;""</formula>
    </cfRule>
  </conditionalFormatting>
  <conditionalFormatting sqref="B78:H2888">
    <cfRule type="expression" dxfId="102" priority="3" stopIfTrue="1">
      <formula>$A78&lt;&gt;""</formula>
    </cfRule>
  </conditionalFormatting>
  <conditionalFormatting sqref="D2886:D2913">
    <cfRule type="expression" dxfId="101"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28" t="s">
        <v>311</v>
      </c>
      <c r="B1" s="329"/>
      <c r="C1" s="174">
        <v>45688</v>
      </c>
      <c r="D1" s="26"/>
      <c r="G1" s="252">
        <v>45688</v>
      </c>
    </row>
    <row r="2" spans="1:7" ht="14" x14ac:dyDescent="0.3">
      <c r="A2" s="28"/>
      <c r="B2" s="28"/>
      <c r="G2" s="252">
        <v>45716</v>
      </c>
    </row>
    <row r="3" spans="1:7" ht="14" x14ac:dyDescent="0.3">
      <c r="A3" s="30" t="s">
        <v>312</v>
      </c>
      <c r="B3" s="326" t="str">
        <f>INDEX(Adr!B:B,Doklady!B102+1)</f>
        <v>Združenie šípkarských organizácií</v>
      </c>
      <c r="C3" s="326"/>
      <c r="D3" s="326"/>
      <c r="G3" s="252">
        <v>45747</v>
      </c>
    </row>
    <row r="4" spans="1:7" ht="14" x14ac:dyDescent="0.3">
      <c r="A4" s="30" t="s">
        <v>313</v>
      </c>
      <c r="B4" s="29" t="str">
        <f>RIGHT("0000"&amp;INDEX(Adr!A:A,Doklady!B102+1),8)</f>
        <v>35538015</v>
      </c>
      <c r="G4" s="252">
        <v>45777</v>
      </c>
    </row>
    <row r="5" spans="1:7" ht="14" x14ac:dyDescent="0.3">
      <c r="A5" s="30" t="s">
        <v>314</v>
      </c>
      <c r="B5" s="29" t="str">
        <f>INDEX(Adr!D:D,Doklady!B102+1)&amp;", "&amp;INDEX(Adr!E:E,Doklady!B102+1)</f>
        <v>Szakkayho 1, Košice</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38732</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38732</v>
      </c>
      <c r="G15" s="252"/>
    </row>
    <row r="16" spans="1:7" ht="14" x14ac:dyDescent="0.3">
      <c r="G16" s="252"/>
    </row>
    <row r="17" spans="1:5" ht="72" customHeight="1" x14ac:dyDescent="0.25">
      <c r="A17" s="327" t="s">
        <v>328</v>
      </c>
      <c r="B17" s="327"/>
      <c r="C17" s="327"/>
      <c r="D17" s="327"/>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J12" sqref="J12"/>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32.15" customHeight="1" x14ac:dyDescent="0.35">
      <c r="A1" s="349" t="s">
        <v>1504</v>
      </c>
      <c r="B1" s="349"/>
      <c r="C1" s="349"/>
      <c r="D1" s="349"/>
      <c r="E1" s="349"/>
      <c r="F1" s="349"/>
      <c r="G1" s="349"/>
      <c r="H1" s="349"/>
      <c r="I1" s="349"/>
    </row>
    <row r="2" spans="1:26" ht="7.5" customHeight="1" x14ac:dyDescent="0.2">
      <c r="C2" s="8"/>
      <c r="D2" s="8"/>
      <c r="E2" s="8"/>
      <c r="F2" s="8"/>
      <c r="G2" s="8"/>
      <c r="H2" s="8"/>
      <c r="I2" s="8"/>
    </row>
    <row r="3" spans="1:26" s="9" customFormat="1" ht="26.15" customHeight="1" x14ac:dyDescent="0.25">
      <c r="B3" s="160" t="s">
        <v>59</v>
      </c>
      <c r="C3" s="350" t="str">
        <f>INDEX(Adr!B2:B87,Doklady!B102)</f>
        <v>Združenie šípkarských organizácií</v>
      </c>
      <c r="D3" s="350"/>
      <c r="E3" s="350"/>
      <c r="F3" s="350"/>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INDEX(Adr!A2:A89,Doklady!B102)</f>
        <v>35538015</v>
      </c>
      <c r="I4" s="65">
        <f>Doklady!I101</f>
        <v>45887</v>
      </c>
      <c r="J4" s="85"/>
      <c r="K4" s="85"/>
      <c r="L4" s="85"/>
      <c r="M4" s="85"/>
      <c r="N4" s="85"/>
      <c r="O4" s="85"/>
      <c r="P4" s="85"/>
      <c r="Q4" s="85"/>
      <c r="R4" s="85"/>
      <c r="S4" s="85"/>
      <c r="T4" s="85"/>
      <c r="U4" s="85"/>
      <c r="V4" s="85"/>
      <c r="W4" s="85"/>
      <c r="X4" s="85"/>
      <c r="Y4" s="85"/>
      <c r="Z4" s="85"/>
    </row>
    <row r="5" spans="1:26" s="9" customFormat="1" ht="13" x14ac:dyDescent="0.3">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INDEX(Adr!D2:D89,Doklady!B102)&amp;", "&amp;INDEX(Adr!E2:E89,Doklady!B102)&amp;", "&amp;INDEX(Adr!F2:F89,Doklady!B102)</f>
        <v>Szakkayho 1, Košice, 040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1" t="s">
        <v>333</v>
      </c>
      <c r="F9" s="352"/>
      <c r="J9" s="8"/>
      <c r="L9" s="118"/>
      <c r="M9" s="118"/>
      <c r="N9" s="118"/>
      <c r="O9" s="118"/>
      <c r="P9" s="118"/>
      <c r="Q9" s="118"/>
      <c r="R9" s="118"/>
      <c r="S9" s="118"/>
    </row>
    <row r="10" spans="1:26" ht="18" x14ac:dyDescent="0.4">
      <c r="A10" s="69" t="s">
        <v>317</v>
      </c>
      <c r="B10" s="70" t="s">
        <v>318</v>
      </c>
      <c r="C10" s="126">
        <f>SUMIF(FP!J:J,Doklady!$B$1&amp;A10,FP!D:D)</f>
        <v>0</v>
      </c>
      <c r="D10" s="126">
        <f>C10-E10</f>
        <v>0</v>
      </c>
      <c r="E10" s="345">
        <f>SUMIF(K:K,A10,I:I)</f>
        <v>0</v>
      </c>
      <c r="F10" s="346"/>
      <c r="L10" s="120" t="s">
        <v>334</v>
      </c>
      <c r="M10" s="118"/>
      <c r="N10" s="118"/>
      <c r="O10" s="118"/>
      <c r="P10" s="118"/>
      <c r="Q10" s="118"/>
      <c r="R10" s="118"/>
      <c r="S10" s="118"/>
    </row>
    <row r="11" spans="1:26" ht="18" x14ac:dyDescent="0.4">
      <c r="A11" s="69" t="s">
        <v>319</v>
      </c>
      <c r="B11" s="70" t="s">
        <v>320</v>
      </c>
      <c r="C11" s="126">
        <f>SUMIF(FP!J:J,Doklady!$B$1&amp;A11,FP!D:D)</f>
        <v>38732</v>
      </c>
      <c r="D11" s="126">
        <f>+C11-E11</f>
        <v>38727.399999999994</v>
      </c>
      <c r="E11" s="353">
        <f>+I39-I42+I44-I47</f>
        <v>4.6000000000058208</v>
      </c>
      <c r="F11" s="354"/>
      <c r="J11" s="176"/>
      <c r="L11" s="161" t="str">
        <f>L41</f>
        <v>a - šípky - bežné transfery</v>
      </c>
      <c r="M11" s="118"/>
      <c r="N11" s="118"/>
      <c r="O11" s="118"/>
      <c r="P11" s="118"/>
      <c r="Q11" s="118"/>
      <c r="R11" s="118"/>
      <c r="S11" s="118"/>
    </row>
    <row r="12" spans="1:26" ht="18" x14ac:dyDescent="0.4">
      <c r="A12" s="69" t="s">
        <v>321</v>
      </c>
      <c r="B12" s="70" t="s">
        <v>322</v>
      </c>
      <c r="C12" s="126">
        <f>SUMIF(FP!J:J,Doklady!$B$1&amp;A12,FP!D:D)</f>
        <v>0</v>
      </c>
      <c r="D12" s="126">
        <f>C12-E12</f>
        <v>0</v>
      </c>
      <c r="E12" s="345">
        <f>SUMIF(K:K,A12,I:I)</f>
        <v>0</v>
      </c>
      <c r="F12" s="346"/>
      <c r="J12" s="177"/>
      <c r="L12" s="161" t="str">
        <f>L42</f>
        <v>a - šípky - kapitálové transfery</v>
      </c>
      <c r="N12" s="118"/>
      <c r="O12" s="118"/>
      <c r="P12" s="118"/>
      <c r="Q12" s="118"/>
      <c r="R12" s="118"/>
      <c r="S12" s="118"/>
    </row>
    <row r="13" spans="1:26" ht="18" x14ac:dyDescent="0.4">
      <c r="A13" s="69" t="s">
        <v>323</v>
      </c>
      <c r="B13" s="70" t="s">
        <v>324</v>
      </c>
      <c r="C13" s="126">
        <f>SUMIF(FP!J:J,Doklady!$B$1&amp;A13,FP!D:D)</f>
        <v>0</v>
      </c>
      <c r="D13" s="126">
        <f>C13-E13</f>
        <v>0</v>
      </c>
      <c r="E13" s="345">
        <f>SUMIF(K:K,A13,I:I)</f>
        <v>0</v>
      </c>
      <c r="F13" s="346"/>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x14ac:dyDescent="0.25">
      <c r="I15" s="9"/>
    </row>
    <row r="16" spans="1:26" s="9" customFormat="1" ht="13" x14ac:dyDescent="0.3">
      <c r="A16" s="117" t="s">
        <v>335</v>
      </c>
      <c r="B16" s="337" t="s">
        <v>336</v>
      </c>
      <c r="C16" s="338"/>
      <c r="D16" s="338"/>
      <c r="E16" s="338"/>
      <c r="F16" s="338"/>
      <c r="G16" s="338"/>
      <c r="H16" s="339"/>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0" t="s">
        <v>339</v>
      </c>
      <c r="C17" s="340"/>
      <c r="D17" s="340"/>
      <c r="E17" s="340"/>
      <c r="F17" s="340"/>
      <c r="G17" s="340"/>
      <c r="H17" s="340"/>
      <c r="I17" s="73">
        <f>SUMIF(FP!I:I,Doklady!$B$1&amp;A17,FP!D:D)</f>
        <v>38732</v>
      </c>
      <c r="T17" s="86"/>
    </row>
    <row r="18" spans="1:20" x14ac:dyDescent="0.2">
      <c r="A18" s="135" t="s">
        <v>340</v>
      </c>
      <c r="B18" s="340" t="s">
        <v>341</v>
      </c>
      <c r="C18" s="340"/>
      <c r="D18" s="340"/>
      <c r="E18" s="340"/>
      <c r="F18" s="340"/>
      <c r="G18" s="340"/>
      <c r="H18" s="340"/>
      <c r="I18" s="73">
        <f>SUMIF(FP!I:I,Doklady!$B$1&amp;A18,FP!D:D)</f>
        <v>0</v>
      </c>
    </row>
    <row r="19" spans="1:20" x14ac:dyDescent="0.2">
      <c r="A19" s="115" t="s">
        <v>342</v>
      </c>
      <c r="B19" s="340" t="s">
        <v>343</v>
      </c>
      <c r="C19" s="340"/>
      <c r="D19" s="340"/>
      <c r="E19" s="340"/>
      <c r="F19" s="340"/>
      <c r="G19" s="340"/>
      <c r="H19" s="340"/>
      <c r="I19" s="73">
        <f>SUMIF(FP!I:I,Doklady!$B$1&amp;A19,FP!D:D)</f>
        <v>0</v>
      </c>
    </row>
    <row r="20" spans="1:20" x14ac:dyDescent="0.2">
      <c r="A20" s="135" t="s">
        <v>344</v>
      </c>
      <c r="B20" s="334" t="s">
        <v>345</v>
      </c>
      <c r="C20" s="335"/>
      <c r="D20" s="335"/>
      <c r="E20" s="335"/>
      <c r="F20" s="335"/>
      <c r="G20" s="335"/>
      <c r="H20" s="336"/>
      <c r="I20" s="73">
        <f>SUMIF(FP!I:I,Doklady!$B$1&amp;A20,FP!D:D)</f>
        <v>0</v>
      </c>
      <c r="T20" s="86"/>
    </row>
    <row r="21" spans="1:20" x14ac:dyDescent="0.2">
      <c r="A21" s="115" t="s">
        <v>346</v>
      </c>
      <c r="B21" s="334" t="s">
        <v>347</v>
      </c>
      <c r="C21" s="335"/>
      <c r="D21" s="335"/>
      <c r="E21" s="335"/>
      <c r="F21" s="335"/>
      <c r="G21" s="335"/>
      <c r="H21" s="336"/>
      <c r="I21" s="73">
        <f>SUMIF(FP!I:I,Doklady!$B$1&amp;A21,FP!D:D)</f>
        <v>0</v>
      </c>
      <c r="T21" s="86"/>
    </row>
    <row r="22" spans="1:20" x14ac:dyDescent="0.2">
      <c r="A22" s="135" t="s">
        <v>348</v>
      </c>
      <c r="B22" s="341" t="s">
        <v>349</v>
      </c>
      <c r="C22" s="342"/>
      <c r="D22" s="342"/>
      <c r="E22" s="342"/>
      <c r="F22" s="342"/>
      <c r="G22" s="342"/>
      <c r="H22" s="343"/>
      <c r="I22" s="73">
        <f>SUMIF(FP!I:I,Doklady!$B$1&amp;A22,FP!D:D)</f>
        <v>0</v>
      </c>
      <c r="T22" s="86"/>
    </row>
    <row r="23" spans="1:20" x14ac:dyDescent="0.2">
      <c r="A23" s="115" t="s">
        <v>350</v>
      </c>
      <c r="B23" s="334" t="s">
        <v>351</v>
      </c>
      <c r="C23" s="335"/>
      <c r="D23" s="335"/>
      <c r="E23" s="335"/>
      <c r="F23" s="335"/>
      <c r="G23" s="335"/>
      <c r="H23" s="336"/>
      <c r="I23" s="73">
        <f>SUMIF(FP!I:I,Doklady!$B$1&amp;A23,FP!D:D)</f>
        <v>0</v>
      </c>
      <c r="T23" s="86"/>
    </row>
    <row r="24" spans="1:20" x14ac:dyDescent="0.2">
      <c r="A24" s="135" t="s">
        <v>352</v>
      </c>
      <c r="B24" s="334" t="s">
        <v>353</v>
      </c>
      <c r="C24" s="335"/>
      <c r="D24" s="335"/>
      <c r="E24" s="335"/>
      <c r="F24" s="335"/>
      <c r="G24" s="335"/>
      <c r="H24" s="336"/>
      <c r="I24" s="73">
        <f>SUMIF(FP!I:I,Doklady!$B$1&amp;A24,FP!D:D)</f>
        <v>0</v>
      </c>
      <c r="T24" s="86"/>
    </row>
    <row r="25" spans="1:20" x14ac:dyDescent="0.2">
      <c r="A25" s="115" t="s">
        <v>354</v>
      </c>
      <c r="B25" s="357" t="s">
        <v>355</v>
      </c>
      <c r="C25" s="358"/>
      <c r="D25" s="358"/>
      <c r="E25" s="358"/>
      <c r="F25" s="358"/>
      <c r="G25" s="358"/>
      <c r="H25" s="359"/>
      <c r="I25" s="73">
        <f>SUMIF(FP!I:I,Doklady!$B$1&amp;A25,FP!D:D)</f>
        <v>0</v>
      </c>
      <c r="T25" s="86"/>
    </row>
    <row r="26" spans="1:20" x14ac:dyDescent="0.2">
      <c r="A26" s="135" t="s">
        <v>356</v>
      </c>
      <c r="B26" s="334" t="s">
        <v>357</v>
      </c>
      <c r="C26" s="335"/>
      <c r="D26" s="335"/>
      <c r="E26" s="335"/>
      <c r="F26" s="335"/>
      <c r="G26" s="335"/>
      <c r="H26" s="336"/>
      <c r="I26" s="73">
        <f>SUMIF(FP!I:I,Doklady!$B$1&amp;A26,FP!D:D)</f>
        <v>0</v>
      </c>
      <c r="T26" s="86"/>
    </row>
    <row r="27" spans="1:20" x14ac:dyDescent="0.2">
      <c r="A27" s="115" t="s">
        <v>358</v>
      </c>
      <c r="B27" s="334" t="s">
        <v>359</v>
      </c>
      <c r="C27" s="335"/>
      <c r="D27" s="335"/>
      <c r="E27" s="335"/>
      <c r="F27" s="335"/>
      <c r="G27" s="335"/>
      <c r="H27" s="336"/>
      <c r="I27" s="73">
        <f>SUMIF(FP!I:I,Doklady!$B$1&amp;A27,FP!D:D)</f>
        <v>0</v>
      </c>
      <c r="T27" s="86"/>
    </row>
    <row r="28" spans="1:20" x14ac:dyDescent="0.2">
      <c r="A28" s="135" t="s">
        <v>360</v>
      </c>
      <c r="B28" s="334" t="s">
        <v>361</v>
      </c>
      <c r="C28" s="335"/>
      <c r="D28" s="335"/>
      <c r="E28" s="335"/>
      <c r="F28" s="335"/>
      <c r="G28" s="335"/>
      <c r="H28" s="336"/>
      <c r="I28" s="73">
        <f>SUMIF(FP!I:I,Doklady!$B$1&amp;A28,FP!D:D)</f>
        <v>0</v>
      </c>
      <c r="T28" s="86"/>
    </row>
    <row r="29" spans="1:20" x14ac:dyDescent="0.2">
      <c r="A29" s="115" t="s">
        <v>362</v>
      </c>
      <c r="B29" s="334" t="s">
        <v>363</v>
      </c>
      <c r="C29" s="335"/>
      <c r="D29" s="335"/>
      <c r="E29" s="335"/>
      <c r="F29" s="335"/>
      <c r="G29" s="335"/>
      <c r="H29" s="336"/>
      <c r="I29" s="73">
        <f>SUMIF(FP!I:I,Doklady!$B$1&amp;A29,FP!D:D)</f>
        <v>0</v>
      </c>
      <c r="T29" s="86"/>
    </row>
    <row r="30" spans="1:20" hidden="1" x14ac:dyDescent="0.2">
      <c r="A30" s="135" t="s">
        <v>364</v>
      </c>
      <c r="B30" s="334"/>
      <c r="C30" s="335"/>
      <c r="D30" s="335"/>
      <c r="E30" s="335"/>
      <c r="F30" s="335"/>
      <c r="G30" s="335"/>
      <c r="H30" s="336"/>
      <c r="I30" s="73">
        <f>SUMIF(FP!I:I,Doklady!$B$1&amp;A30,FP!D:D)</f>
        <v>0</v>
      </c>
      <c r="T30" s="86"/>
    </row>
    <row r="31" spans="1:20" hidden="1" x14ac:dyDescent="0.2">
      <c r="A31" s="115" t="s">
        <v>365</v>
      </c>
      <c r="B31" s="334"/>
      <c r="C31" s="335"/>
      <c r="D31" s="335"/>
      <c r="E31" s="335"/>
      <c r="F31" s="335"/>
      <c r="G31" s="335"/>
      <c r="H31" s="336"/>
      <c r="I31" s="73">
        <f>SUMIF(FP!I:I,Doklady!$B$1&amp;A31,FP!D:D)</f>
        <v>0</v>
      </c>
      <c r="T31" s="86"/>
    </row>
    <row r="32" spans="1:20" hidden="1" x14ac:dyDescent="0.2">
      <c r="A32" s="135" t="s">
        <v>366</v>
      </c>
      <c r="B32" s="330"/>
      <c r="C32" s="331"/>
      <c r="D32" s="331"/>
      <c r="E32" s="331"/>
      <c r="F32" s="331"/>
      <c r="G32" s="331"/>
      <c r="H32" s="332"/>
      <c r="I32" s="73">
        <f>SUMIF(FP!I:I,Doklady!$B$1&amp;A32,FP!D:D)</f>
        <v>0</v>
      </c>
      <c r="T32" s="86"/>
    </row>
    <row r="33" spans="1:21" hidden="1" x14ac:dyDescent="0.2">
      <c r="A33" s="115" t="s">
        <v>367</v>
      </c>
      <c r="B33" s="330"/>
      <c r="C33" s="331"/>
      <c r="D33" s="331"/>
      <c r="E33" s="331"/>
      <c r="F33" s="331"/>
      <c r="G33" s="331"/>
      <c r="H33" s="332"/>
      <c r="I33" s="73">
        <f>SUMIF(FP!I:I,Doklady!$B$1&amp;A33,FP!D:D)</f>
        <v>0</v>
      </c>
      <c r="T33" s="86"/>
    </row>
    <row r="34" spans="1:21" hidden="1" x14ac:dyDescent="0.2">
      <c r="A34" s="135" t="s">
        <v>368</v>
      </c>
      <c r="B34" s="333"/>
      <c r="C34" s="333"/>
      <c r="D34" s="333"/>
      <c r="E34" s="333"/>
      <c r="F34" s="333"/>
      <c r="G34" s="333"/>
      <c r="H34" s="333"/>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335</v>
      </c>
      <c r="B38" s="67" t="str">
        <f>"Šport "&amp;K40</f>
        <v>Šport šípky</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7746.4000000000005</v>
      </c>
      <c r="G39" s="78">
        <f>+MAX(I39-C39-D39-E39-F39-H39,0)</f>
        <v>30985.599999999999</v>
      </c>
      <c r="H39" s="78">
        <f>+IFERROR(VLOOKUP(K40&amp;" - kapitálové transfery",B$53:C$90,2,0),0)</f>
        <v>0</v>
      </c>
      <c r="I39" s="73">
        <f>SUMIF(FP!K:K,K40,FP!D:D)</f>
        <v>38732</v>
      </c>
      <c r="L39" s="84">
        <f>COUNTIF(FP!N:N,Doklady!B1&amp;"aK")</f>
        <v>0</v>
      </c>
      <c r="T39" s="86"/>
    </row>
    <row r="40" spans="1:21" x14ac:dyDescent="0.2">
      <c r="A40" s="115" t="s">
        <v>338</v>
      </c>
      <c r="B40" s="116" t="s">
        <v>377</v>
      </c>
      <c r="C40" s="78">
        <f>DSUM(Doklady!A103:J10000,"GGG",Spolu!L40:M42)</f>
        <v>7828.8499999999985</v>
      </c>
      <c r="D40" s="78">
        <f>DSUM(Doklady!A103:J10000,"GGG",Spolu!N40:O42)</f>
        <v>8792</v>
      </c>
      <c r="E40" s="78">
        <f>DSUM(Doklady!A103:J10000,"GGG",Spolu!P40:Q42)</f>
        <v>13869.3</v>
      </c>
      <c r="F40" s="78">
        <f>DSUM(Doklady!A103:J10000,"GGG",Spolu!R40:S42)</f>
        <v>3102.6499999999996</v>
      </c>
      <c r="G40" s="78">
        <f>DSUM(Doklady!A103:J10000,"GGG",Spolu!T40:U42)-H40</f>
        <v>5134.6000000000004</v>
      </c>
      <c r="H40" s="78">
        <f>+IFERROR(VLOOKUP(K40&amp;" - kapitálové transfery",B$53:D$90,3,0),0)</f>
        <v>0</v>
      </c>
      <c r="I40" s="73">
        <f>+C40+D40+E40+F40+G40+H40</f>
        <v>38727.399999999994</v>
      </c>
      <c r="J40" s="218" t="str">
        <f>+K45</f>
        <v>.</v>
      </c>
      <c r="K40" s="218" t="str">
        <f>IF(L38&gt;0,INDEX(FP!K:K,Doklady!B2),".")</f>
        <v>šípky</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4.6000000000058208</v>
      </c>
      <c r="J41" s="219">
        <f>+K46</f>
        <v>0</v>
      </c>
      <c r="K41" s="219">
        <f>+I41-H41</f>
        <v>4.6000000000058208</v>
      </c>
      <c r="L41" s="161" t="str">
        <f>IF(L38&gt;0,"a - "&amp;INDEX(FP!C:C,Doklady!B2),2)</f>
        <v>a - šípky - bežné transfery</v>
      </c>
      <c r="M41" s="120">
        <v>1</v>
      </c>
      <c r="N41" s="161" t="str">
        <f>+L41</f>
        <v>a - šípky - bežné transfery</v>
      </c>
      <c r="O41" s="120">
        <v>2</v>
      </c>
      <c r="P41" s="161" t="str">
        <f>+L41</f>
        <v>a - šípky - bežné transfery</v>
      </c>
      <c r="Q41" s="120">
        <v>3</v>
      </c>
      <c r="R41" s="161" t="str">
        <f>+L41</f>
        <v>a - šípky - bežné transfery</v>
      </c>
      <c r="S41" s="120">
        <v>4</v>
      </c>
      <c r="T41" s="161" t="str">
        <f>+L41</f>
        <v>a - šípky - bežné transfery</v>
      </c>
      <c r="U41" s="120">
        <v>5</v>
      </c>
    </row>
    <row r="42" spans="1:21" ht="10.5" customHeight="1" x14ac:dyDescent="0.2">
      <c r="A42" s="115" t="s">
        <v>338</v>
      </c>
      <c r="B42" s="116" t="s">
        <v>380</v>
      </c>
      <c r="C42" s="73">
        <f>+C40</f>
        <v>7828.8499999999985</v>
      </c>
      <c r="D42" s="216">
        <f>+D40</f>
        <v>8792</v>
      </c>
      <c r="E42" s="216">
        <f>+E40</f>
        <v>13869.3</v>
      </c>
      <c r="F42" s="216">
        <f>+MIN(F39:F40)</f>
        <v>3102.6499999999996</v>
      </c>
      <c r="G42" s="216">
        <f>+MIN(G39+MAX(F39-F40,0)-MAX(E40-E39,0)-MAX(D40-D39,0)-MAX(C40-C39,0),G40)</f>
        <v>5134.6000000000004</v>
      </c>
      <c r="H42" s="216">
        <f>+MIN(H39:H40)</f>
        <v>0</v>
      </c>
      <c r="I42" s="73">
        <f>+C42+D42+E42+MIN(F39:F40)+G42+H42</f>
        <v>38727.399999999994</v>
      </c>
      <c r="J42" s="219">
        <f>+K47</f>
        <v>0</v>
      </c>
      <c r="K42" s="219">
        <f>+I42-H42</f>
        <v>38727.399999999994</v>
      </c>
      <c r="L42" s="161" t="str">
        <f>+SUBSTITUTE(L41,"bežné","kapitálové")</f>
        <v>a - šípky - kapitálové transfery</v>
      </c>
      <c r="M42" s="120">
        <v>1</v>
      </c>
      <c r="N42" s="161" t="str">
        <f>+L42</f>
        <v>a - šípky - kapitálové transfery</v>
      </c>
      <c r="O42" s="120">
        <v>2</v>
      </c>
      <c r="P42" s="161" t="str">
        <f>+L42</f>
        <v>a - šípky - kapitálové transfery</v>
      </c>
      <c r="Q42" s="120">
        <v>3</v>
      </c>
      <c r="R42" s="161" t="str">
        <f>+L42</f>
        <v>a - šípky - kapitálové transfery</v>
      </c>
      <c r="S42" s="120">
        <v>4</v>
      </c>
      <c r="T42" s="161" t="str">
        <f>+L42</f>
        <v>a - šípky - kapitálové transfery</v>
      </c>
      <c r="U42" s="120">
        <v>5</v>
      </c>
    </row>
    <row r="43" spans="1:21" ht="31.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0.5"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7"/>
      <c r="B50" s="348"/>
      <c r="C50" s="348"/>
      <c r="D50" s="348"/>
      <c r="E50" s="348"/>
      <c r="F50" s="348"/>
      <c r="G50" s="348"/>
      <c r="H50" s="348"/>
      <c r="I50" s="348"/>
      <c r="T50" s="86"/>
    </row>
    <row r="51" spans="1:20" x14ac:dyDescent="0.2">
      <c r="A51" s="112"/>
      <c r="B51" s="113"/>
      <c r="C51" s="111"/>
      <c r="D51" s="114"/>
      <c r="E51" s="114"/>
      <c r="F51" s="114"/>
      <c r="G51" s="222"/>
      <c r="H51" s="114"/>
      <c r="I51" s="114"/>
      <c r="T51" s="86"/>
    </row>
    <row r="52" spans="1:20" ht="21"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šípky - bežné transfery</v>
      </c>
      <c r="C53" s="73">
        <f>IF(A53&lt;&gt;"",INDEX(FP!D:D,Doklady!B$2+(ROW()-53)),"")</f>
        <v>38732</v>
      </c>
      <c r="D53" s="73">
        <f>IF(A53&lt;&gt;"",Doklady!I1-Doklady!J1,"")</f>
        <v>38727.4</v>
      </c>
      <c r="E53" s="73">
        <f>IF(A53&lt;&gt;"",MIN(D53,C53)*Doklady!C1/(1-Doklady!C1),"")</f>
        <v>0</v>
      </c>
      <c r="F53" s="71">
        <f>IF(A53&lt;&gt;"",Doklady!J1,"")</f>
        <v>0</v>
      </c>
      <c r="G53" s="73">
        <f>+IFERROR(HLOOKUP(IF(RIGHT(B53,15)="bežné transfery",LEFT(B53,LEN(B53)-18),0),$J$40:$K$42,3,0),MIN(C53,D53))</f>
        <v>38727.399999999994</v>
      </c>
      <c r="H53" s="71"/>
      <c r="I53" s="73">
        <f>IF(A53&lt;&gt;"",MAX(IF(G53&lt;C53,C53-G53,0)+IF(F53&lt;E53,E53-F53,0),0),0)</f>
        <v>4.6000000000058208</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5">
      <c r="A130" s="226" t="str">
        <f>Doklady!D66</f>
        <v/>
      </c>
      <c r="B130" s="227" t="s">
        <v>327</v>
      </c>
      <c r="C130" s="228">
        <f>SUM(C53:C129)</f>
        <v>38732</v>
      </c>
      <c r="D130" s="228">
        <f t="shared" ref="D130:I130" si="9">SUM(D53:D129)</f>
        <v>38727.4</v>
      </c>
      <c r="E130" s="228">
        <f t="shared" si="9"/>
        <v>0</v>
      </c>
      <c r="F130" s="228">
        <f t="shared" si="9"/>
        <v>0</v>
      </c>
      <c r="G130" s="228">
        <f t="shared" si="9"/>
        <v>38727.399999999994</v>
      </c>
      <c r="H130" s="228">
        <f t="shared" si="9"/>
        <v>0</v>
      </c>
      <c r="I130" s="228">
        <f t="shared" si="9"/>
        <v>4.6000000000058208</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395</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396</v>
      </c>
      <c r="B139" s="9"/>
      <c r="C139" s="74"/>
      <c r="D139" s="74"/>
      <c r="E139" s="74"/>
      <c r="F139" s="74"/>
      <c r="G139" s="74"/>
      <c r="H139" s="74"/>
      <c r="I139" s="74"/>
      <c r="J139" s="85"/>
    </row>
    <row r="140" spans="1:26" ht="12.5" x14ac:dyDescent="0.25">
      <c r="A140" s="9"/>
      <c r="B140" s="281"/>
      <c r="C140" s="229"/>
      <c r="D140" s="360"/>
      <c r="E140" s="360"/>
      <c r="F140" s="360"/>
      <c r="G140" s="360"/>
      <c r="H140" s="360"/>
      <c r="I140" s="360"/>
      <c r="J140" s="85"/>
    </row>
    <row r="141" spans="1:26" ht="68.25" customHeight="1" x14ac:dyDescent="0.25">
      <c r="A141" s="9"/>
      <c r="B141" s="283" t="s">
        <v>397</v>
      </c>
      <c r="C141" s="214"/>
      <c r="D141" s="344" t="s">
        <v>398</v>
      </c>
      <c r="E141" s="344"/>
      <c r="F141" s="344"/>
      <c r="G141" s="344"/>
      <c r="H141" s="344"/>
      <c r="I141" s="344"/>
      <c r="J141" s="85"/>
    </row>
    <row r="142" spans="1:26" ht="12.5" x14ac:dyDescent="0.25">
      <c r="A142" s="9"/>
      <c r="B142" s="282"/>
      <c r="C142" s="214"/>
      <c r="D142" s="263"/>
      <c r="E142" s="263"/>
      <c r="F142" s="263"/>
      <c r="G142" s="263"/>
      <c r="H142" s="263"/>
      <c r="I142" s="263"/>
      <c r="J142" s="85"/>
    </row>
    <row r="143" spans="1:26" ht="12.5" x14ac:dyDescent="0.25">
      <c r="A143" s="9"/>
      <c r="B143" s="282"/>
      <c r="C143" s="214"/>
      <c r="D143" s="263"/>
      <c r="E143" s="263"/>
      <c r="F143" s="263"/>
      <c r="G143" s="263"/>
      <c r="H143" s="263"/>
      <c r="I143" s="263"/>
      <c r="J143" s="85"/>
    </row>
    <row r="144" spans="1:26" ht="12.5" x14ac:dyDescent="0.25">
      <c r="A144" s="9"/>
      <c r="B144" s="283"/>
      <c r="C144" s="214"/>
      <c r="D144" s="263"/>
      <c r="E144" s="263"/>
      <c r="F144" s="263"/>
      <c r="G144" s="263"/>
      <c r="H144" s="263"/>
      <c r="I144" s="263"/>
      <c r="J144" s="85"/>
    </row>
    <row r="145" spans="2:2" ht="12.5" x14ac:dyDescent="0.25">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00" priority="43" stopIfTrue="1" operator="lessThanOrEqual">
      <formula>0</formula>
    </cfRule>
    <cfRule type="cellIs" dxfId="99" priority="44" stopIfTrue="1" operator="greaterThan">
      <formula>0</formula>
    </cfRule>
  </conditionalFormatting>
  <conditionalFormatting sqref="D53:D129">
    <cfRule type="expression" dxfId="98" priority="31" stopIfTrue="1">
      <formula>$C53=$D53</formula>
    </cfRule>
    <cfRule type="expression" dxfId="97" priority="33" stopIfTrue="1">
      <formula>$C53&lt;&gt;$D53</formula>
    </cfRule>
  </conditionalFormatting>
  <conditionalFormatting sqref="E9:F9">
    <cfRule type="expression" dxfId="96" priority="38" stopIfTrue="1">
      <formula>SUM($E$10:$F$14)&gt;0</formula>
    </cfRule>
  </conditionalFormatting>
  <conditionalFormatting sqref="G53:G129">
    <cfRule type="expression" dxfId="95" priority="13" stopIfTrue="1">
      <formula>$C53=$G53</formula>
    </cfRule>
    <cfRule type="expression" dxfId="94" priority="14" stopIfTrue="1">
      <formula>$C53&lt;&gt;$G53</formula>
    </cfRule>
  </conditionalFormatting>
  <conditionalFormatting sqref="I42">
    <cfRule type="cellIs" dxfId="93" priority="1" stopIfTrue="1" operator="greaterThan">
      <formula>0</formula>
    </cfRule>
  </conditionalFormatting>
  <conditionalFormatting sqref="I47">
    <cfRule type="cellIs" dxfId="92" priority="15" stopIfTrue="1" operator="greaterThan">
      <formula>0</formula>
    </cfRule>
  </conditionalFormatting>
  <conditionalFormatting sqref="I53:I129">
    <cfRule type="cellIs" dxfId="91" priority="40" stopIfTrue="1" operator="equal">
      <formula>0</formula>
    </cfRule>
    <cfRule type="cellIs" dxfId="9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26" zoomScaleNormal="100" workbookViewId="0">
      <selection activeCell="F139" sqref="F139"/>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10.17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a - šípky - bežné transfery</v>
      </c>
      <c r="B1" s="232" t="str">
        <f>INDEX(Adr!A:A,B102+1)</f>
        <v>35538015</v>
      </c>
      <c r="C1" s="233">
        <f>IF(ROW()&lt;=B$3,INDEX(FP!E:E,B$2+ROW()-1),"")</f>
        <v>0</v>
      </c>
      <c r="D1" s="234" t="str">
        <f>IF(ROW()&lt;=B$3,INDEX(FP!F:F,B$2+ROW()-1),"")</f>
        <v>a</v>
      </c>
      <c r="E1" s="234"/>
      <c r="F1" s="234" t="str">
        <f>IF(ROW()&lt;=B$3,INDEX(FP!G:G,B$2+ROW()-1),"")</f>
        <v>026 02</v>
      </c>
      <c r="G1" s="234"/>
      <c r="H1" s="235" t="str">
        <f>IF(ROW()&lt;=B$3,INDEX(FP!C:C,B$2+ROW()-1),"")</f>
        <v>šípky - bežné transfery</v>
      </c>
      <c r="I1" s="236">
        <f t="shared" ref="I1:I6" si="0">IF(ROW()&lt;=B$3,SUMIF(A$107:A$10042,A1,I$107:I$10042),"")</f>
        <v>38727.4</v>
      </c>
      <c r="J1" s="236">
        <f t="shared" ref="J1:J32" si="1">IF(ROW()&lt;=B$3,SUMIFS(I$103:I$50042,A$103:A$50042,K1,J$103:J$50042,L1),"")</f>
        <v>0</v>
      </c>
      <c r="K1" s="110" t="str">
        <f>$A1</f>
        <v>a - šípky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91</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65" customHeight="1" x14ac:dyDescent="0.35">
      <c r="A100" s="361" t="s">
        <v>1505</v>
      </c>
      <c r="B100" s="361"/>
      <c r="C100" s="361"/>
      <c r="D100" s="361"/>
      <c r="E100" s="361"/>
      <c r="F100" s="361"/>
      <c r="G100" s="361"/>
      <c r="H100" s="361"/>
      <c r="I100" s="363" t="s">
        <v>1488</v>
      </c>
      <c r="J100" s="363"/>
      <c r="K100" s="89"/>
    </row>
    <row r="101" spans="1:25" ht="15.5" x14ac:dyDescent="0.35">
      <c r="A101" s="364"/>
      <c r="B101" s="364"/>
      <c r="C101" s="364"/>
      <c r="D101" s="364"/>
      <c r="E101" s="364"/>
      <c r="F101" s="364"/>
      <c r="G101" s="364"/>
      <c r="H101" s="364"/>
      <c r="I101" s="362">
        <v>45887</v>
      </c>
      <c r="J101" s="362"/>
    </row>
    <row r="102" spans="1:25" ht="14" x14ac:dyDescent="0.3">
      <c r="A102" s="249" t="s">
        <v>403</v>
      </c>
      <c r="B102" s="250">
        <v>83</v>
      </c>
      <c r="C102" s="250"/>
      <c r="D102" s="251"/>
      <c r="E102" s="251"/>
      <c r="F102" s="251"/>
      <c r="G102" s="251"/>
      <c r="H102" s="251"/>
      <c r="I102" s="86"/>
      <c r="J102" s="220"/>
    </row>
    <row r="103" spans="1:25" s="83" customFormat="1" ht="10.5"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65" t="s">
        <v>412</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1506</v>
      </c>
      <c r="B107" s="14" t="s">
        <v>1507</v>
      </c>
      <c r="C107" s="14" t="s">
        <v>1508</v>
      </c>
      <c r="D107" s="16">
        <v>45748</v>
      </c>
      <c r="E107" s="16"/>
      <c r="F107" s="14" t="s">
        <v>1513</v>
      </c>
      <c r="G107" s="14" t="s">
        <v>1516</v>
      </c>
      <c r="H107" s="14" t="s">
        <v>1515</v>
      </c>
      <c r="I107" s="15">
        <v>164.82</v>
      </c>
      <c r="J107" s="77">
        <v>4</v>
      </c>
      <c r="K107" s="92"/>
    </row>
    <row r="108" spans="1:25" ht="12.5" x14ac:dyDescent="0.25">
      <c r="A108" s="14" t="s">
        <v>1506</v>
      </c>
      <c r="B108" s="14" t="s">
        <v>1510</v>
      </c>
      <c r="C108" s="14" t="s">
        <v>1509</v>
      </c>
      <c r="D108" s="16">
        <v>45748</v>
      </c>
      <c r="E108" s="16"/>
      <c r="F108" s="14" t="s">
        <v>1514</v>
      </c>
      <c r="G108" s="14" t="s">
        <v>1516</v>
      </c>
      <c r="H108" s="14" t="s">
        <v>1515</v>
      </c>
      <c r="I108" s="15">
        <v>164.82</v>
      </c>
      <c r="J108" s="77">
        <v>4</v>
      </c>
      <c r="K108" s="92"/>
    </row>
    <row r="109" spans="1:25" ht="12.5" x14ac:dyDescent="0.25">
      <c r="A109" s="14" t="s">
        <v>1506</v>
      </c>
      <c r="B109" s="14" t="s">
        <v>1511</v>
      </c>
      <c r="C109" s="14" t="s">
        <v>1512</v>
      </c>
      <c r="D109" s="16">
        <v>45748</v>
      </c>
      <c r="E109" s="16"/>
      <c r="F109" s="14" t="s">
        <v>1514</v>
      </c>
      <c r="G109" s="14" t="s">
        <v>1516</v>
      </c>
      <c r="H109" s="14" t="s">
        <v>1515</v>
      </c>
      <c r="I109" s="15">
        <v>164.82</v>
      </c>
      <c r="J109" s="77">
        <v>4</v>
      </c>
      <c r="K109" s="92"/>
    </row>
    <row r="110" spans="1:25" ht="12.5" x14ac:dyDescent="0.25">
      <c r="A110" s="14" t="s">
        <v>1506</v>
      </c>
      <c r="B110" s="14" t="s">
        <v>1517</v>
      </c>
      <c r="C110" s="14" t="s">
        <v>1521</v>
      </c>
      <c r="D110" s="16">
        <v>45777</v>
      </c>
      <c r="E110" s="16"/>
      <c r="F110" s="14" t="s">
        <v>1518</v>
      </c>
      <c r="G110" s="14" t="s">
        <v>1520</v>
      </c>
      <c r="H110" s="14" t="s">
        <v>1519</v>
      </c>
      <c r="I110" s="15">
        <v>5</v>
      </c>
      <c r="J110" s="77">
        <v>4</v>
      </c>
      <c r="K110" s="92"/>
    </row>
    <row r="111" spans="1:25" ht="20" x14ac:dyDescent="0.25">
      <c r="A111" s="14" t="s">
        <v>1506</v>
      </c>
      <c r="B111" s="14" t="s">
        <v>1523</v>
      </c>
      <c r="C111" s="14" t="s">
        <v>1522</v>
      </c>
      <c r="D111" s="16">
        <v>45782</v>
      </c>
      <c r="E111" s="16"/>
      <c r="F111" s="14" t="s">
        <v>1524</v>
      </c>
      <c r="G111" s="14" t="s">
        <v>1525</v>
      </c>
      <c r="H111" s="14" t="s">
        <v>1526</v>
      </c>
      <c r="I111" s="15">
        <v>471</v>
      </c>
      <c r="J111" s="77">
        <v>5</v>
      </c>
      <c r="K111" s="92"/>
    </row>
    <row r="112" spans="1:25" ht="12.5" x14ac:dyDescent="0.25">
      <c r="A112" s="14" t="s">
        <v>1506</v>
      </c>
      <c r="B112" s="14" t="s">
        <v>1527</v>
      </c>
      <c r="C112" s="14" t="s">
        <v>1529</v>
      </c>
      <c r="D112" s="16">
        <v>45806</v>
      </c>
      <c r="E112" s="16"/>
      <c r="F112" s="14" t="s">
        <v>1531</v>
      </c>
      <c r="G112" s="14" t="s">
        <v>1516</v>
      </c>
      <c r="H112" s="14" t="s">
        <v>1515</v>
      </c>
      <c r="I112" s="15">
        <v>166.32</v>
      </c>
      <c r="J112" s="77">
        <v>4</v>
      </c>
      <c r="K112" s="92"/>
    </row>
    <row r="113" spans="1:11" ht="12.5" x14ac:dyDescent="0.25">
      <c r="A113" s="14" t="s">
        <v>1506</v>
      </c>
      <c r="B113" s="14" t="s">
        <v>1528</v>
      </c>
      <c r="C113" s="14" t="s">
        <v>1530</v>
      </c>
      <c r="D113" s="16">
        <v>45806</v>
      </c>
      <c r="E113" s="16"/>
      <c r="F113" s="14" t="s">
        <v>1532</v>
      </c>
      <c r="G113" s="14" t="s">
        <v>1516</v>
      </c>
      <c r="H113" s="14" t="s">
        <v>1515</v>
      </c>
      <c r="I113" s="15">
        <v>166.32</v>
      </c>
      <c r="J113" s="77">
        <v>4</v>
      </c>
      <c r="K113" s="92"/>
    </row>
    <row r="114" spans="1:11" ht="40" x14ac:dyDescent="0.25">
      <c r="A114" s="14" t="s">
        <v>1506</v>
      </c>
      <c r="B114" s="14" t="s">
        <v>1533</v>
      </c>
      <c r="C114" s="14" t="s">
        <v>1536</v>
      </c>
      <c r="D114" s="16">
        <v>45806</v>
      </c>
      <c r="E114" s="16"/>
      <c r="F114" s="14" t="s">
        <v>1540</v>
      </c>
      <c r="G114" s="14" t="s">
        <v>1535</v>
      </c>
      <c r="H114" s="14" t="s">
        <v>1534</v>
      </c>
      <c r="I114" s="15">
        <v>900</v>
      </c>
      <c r="J114" s="77">
        <v>5</v>
      </c>
      <c r="K114" s="92"/>
    </row>
    <row r="115" spans="1:11" ht="20" x14ac:dyDescent="0.25">
      <c r="A115" s="14" t="s">
        <v>1506</v>
      </c>
      <c r="B115" s="14" t="s">
        <v>1539</v>
      </c>
      <c r="C115" s="14" t="s">
        <v>1537</v>
      </c>
      <c r="D115" s="16">
        <v>45807</v>
      </c>
      <c r="E115" s="16"/>
      <c r="F115" s="14" t="s">
        <v>1541</v>
      </c>
      <c r="G115" s="14" t="s">
        <v>1537</v>
      </c>
      <c r="H115" s="14" t="s">
        <v>1538</v>
      </c>
      <c r="I115" s="15">
        <v>350</v>
      </c>
      <c r="J115" s="77">
        <v>5</v>
      </c>
      <c r="K115" s="92"/>
    </row>
    <row r="116" spans="1:11" ht="30" x14ac:dyDescent="0.25">
      <c r="A116" s="14" t="s">
        <v>1506</v>
      </c>
      <c r="B116" s="14" t="s">
        <v>1546</v>
      </c>
      <c r="C116" s="14" t="s">
        <v>1545</v>
      </c>
      <c r="D116" s="16">
        <v>45807</v>
      </c>
      <c r="E116" s="16"/>
      <c r="F116" s="14" t="s">
        <v>1542</v>
      </c>
      <c r="G116" s="14" t="s">
        <v>1544</v>
      </c>
      <c r="H116" s="14" t="s">
        <v>1543</v>
      </c>
      <c r="I116" s="15">
        <v>5192</v>
      </c>
      <c r="J116" s="77">
        <v>2</v>
      </c>
      <c r="K116" s="92"/>
    </row>
    <row r="117" spans="1:11" ht="12.5" x14ac:dyDescent="0.25">
      <c r="A117" s="14" t="s">
        <v>1506</v>
      </c>
      <c r="B117" s="14" t="s">
        <v>1547</v>
      </c>
      <c r="C117" s="14" t="s">
        <v>1548</v>
      </c>
      <c r="D117" s="16">
        <v>45808</v>
      </c>
      <c r="E117" s="16"/>
      <c r="F117" s="14" t="s">
        <v>1518</v>
      </c>
      <c r="G117" s="14" t="s">
        <v>1520</v>
      </c>
      <c r="H117" s="14" t="s">
        <v>1519</v>
      </c>
      <c r="I117" s="15">
        <v>5</v>
      </c>
      <c r="J117" s="77">
        <v>4</v>
      </c>
      <c r="K117" s="92"/>
    </row>
    <row r="118" spans="1:11" ht="12.5" x14ac:dyDescent="0.25">
      <c r="A118" s="14" t="s">
        <v>1506</v>
      </c>
      <c r="B118" s="14" t="s">
        <v>1549</v>
      </c>
      <c r="C118" s="14" t="s">
        <v>1553</v>
      </c>
      <c r="D118" s="16">
        <v>45820</v>
      </c>
      <c r="E118" s="16"/>
      <c r="F118" s="14" t="s">
        <v>1551</v>
      </c>
      <c r="G118" s="14" t="s">
        <v>1552</v>
      </c>
      <c r="H118" s="14" t="s">
        <v>1550</v>
      </c>
      <c r="I118" s="15">
        <v>101.56</v>
      </c>
      <c r="J118" s="77">
        <v>4</v>
      </c>
      <c r="K118" s="92"/>
    </row>
    <row r="119" spans="1:11" ht="12.5" x14ac:dyDescent="0.25">
      <c r="A119" s="14" t="s">
        <v>1506</v>
      </c>
      <c r="B119" s="14" t="s">
        <v>1554</v>
      </c>
      <c r="C119" s="14" t="s">
        <v>1555</v>
      </c>
      <c r="D119" s="16">
        <v>45824</v>
      </c>
      <c r="E119" s="16"/>
      <c r="F119" s="14" t="s">
        <v>1556</v>
      </c>
      <c r="G119" s="14" t="s">
        <v>1516</v>
      </c>
      <c r="H119" s="14" t="s">
        <v>1515</v>
      </c>
      <c r="I119" s="15">
        <v>166.32</v>
      </c>
      <c r="J119" s="77">
        <v>4</v>
      </c>
      <c r="K119" s="92"/>
    </row>
    <row r="120" spans="1:11" ht="12.5" x14ac:dyDescent="0.25">
      <c r="A120" s="14" t="s">
        <v>1506</v>
      </c>
      <c r="B120" s="14" t="s">
        <v>1557</v>
      </c>
      <c r="C120" s="14" t="s">
        <v>1560</v>
      </c>
      <c r="D120" s="16">
        <v>45825</v>
      </c>
      <c r="E120" s="16"/>
      <c r="F120" s="14" t="s">
        <v>1564</v>
      </c>
      <c r="G120" s="14" t="s">
        <v>1567</v>
      </c>
      <c r="H120" s="14" t="s">
        <v>1563</v>
      </c>
      <c r="I120" s="15">
        <v>900</v>
      </c>
      <c r="J120" s="77">
        <v>4</v>
      </c>
      <c r="K120" s="92"/>
    </row>
    <row r="121" spans="1:11" ht="12.5" x14ac:dyDescent="0.25">
      <c r="A121" s="14" t="s">
        <v>1506</v>
      </c>
      <c r="B121" s="14" t="s">
        <v>1558</v>
      </c>
      <c r="C121" s="14" t="s">
        <v>1561</v>
      </c>
      <c r="D121" s="16">
        <v>45825</v>
      </c>
      <c r="E121" s="16"/>
      <c r="F121" s="14" t="s">
        <v>1565</v>
      </c>
      <c r="G121" s="14" t="s">
        <v>1567</v>
      </c>
      <c r="H121" s="14" t="s">
        <v>1563</v>
      </c>
      <c r="I121" s="15">
        <v>300</v>
      </c>
      <c r="J121" s="77">
        <v>4</v>
      </c>
      <c r="K121" s="92"/>
    </row>
    <row r="122" spans="1:11" ht="12.5" x14ac:dyDescent="0.25">
      <c r="A122" s="14" t="s">
        <v>1506</v>
      </c>
      <c r="B122" s="14" t="s">
        <v>1559</v>
      </c>
      <c r="C122" s="14" t="s">
        <v>1562</v>
      </c>
      <c r="D122" s="16">
        <v>45825</v>
      </c>
      <c r="E122" s="16"/>
      <c r="F122" s="14" t="s">
        <v>1566</v>
      </c>
      <c r="G122" s="14" t="s">
        <v>1567</v>
      </c>
      <c r="H122" s="14" t="s">
        <v>1563</v>
      </c>
      <c r="I122" s="15">
        <v>300</v>
      </c>
      <c r="J122" s="77">
        <v>4</v>
      </c>
      <c r="K122" s="92"/>
    </row>
    <row r="123" spans="1:11" ht="40" x14ac:dyDescent="0.25">
      <c r="A123" s="14" t="s">
        <v>1506</v>
      </c>
      <c r="B123" s="14" t="s">
        <v>1568</v>
      </c>
      <c r="C123" s="14" t="s">
        <v>1572</v>
      </c>
      <c r="D123" s="16">
        <v>45827</v>
      </c>
      <c r="E123" s="16"/>
      <c r="F123" s="14" t="s">
        <v>1571</v>
      </c>
      <c r="G123" s="14" t="s">
        <v>1569</v>
      </c>
      <c r="H123" s="14" t="s">
        <v>1570</v>
      </c>
      <c r="I123" s="15">
        <v>3600</v>
      </c>
      <c r="J123" s="77">
        <v>2</v>
      </c>
      <c r="K123" s="92"/>
    </row>
    <row r="124" spans="1:11" ht="20" x14ac:dyDescent="0.25">
      <c r="A124" s="14" t="s">
        <v>1506</v>
      </c>
      <c r="B124" s="14" t="s">
        <v>1573</v>
      </c>
      <c r="C124" s="14" t="s">
        <v>1561</v>
      </c>
      <c r="D124" s="16">
        <v>45827</v>
      </c>
      <c r="E124" s="16"/>
      <c r="F124" s="14" t="s">
        <v>1575</v>
      </c>
      <c r="G124" s="14" t="s">
        <v>1576</v>
      </c>
      <c r="H124" s="14" t="s">
        <v>1574</v>
      </c>
      <c r="I124" s="15">
        <v>600</v>
      </c>
      <c r="J124" s="77">
        <v>5</v>
      </c>
      <c r="K124" s="92"/>
    </row>
    <row r="125" spans="1:11" ht="30" x14ac:dyDescent="0.25">
      <c r="A125" s="14" t="s">
        <v>1506</v>
      </c>
      <c r="B125" s="14" t="s">
        <v>1578</v>
      </c>
      <c r="C125" s="14"/>
      <c r="D125" s="16">
        <v>45827</v>
      </c>
      <c r="E125" s="16"/>
      <c r="F125" s="14" t="s">
        <v>1582</v>
      </c>
      <c r="G125" s="14"/>
      <c r="H125" s="14" t="s">
        <v>1581</v>
      </c>
      <c r="I125" s="15">
        <v>336.67</v>
      </c>
      <c r="J125" s="77">
        <v>4</v>
      </c>
      <c r="K125" s="92"/>
    </row>
    <row r="126" spans="1:11" ht="40" x14ac:dyDescent="0.25">
      <c r="A126" s="14" t="s">
        <v>1506</v>
      </c>
      <c r="B126" s="14" t="s">
        <v>1580</v>
      </c>
      <c r="C126" s="14" t="s">
        <v>1579</v>
      </c>
      <c r="D126" s="16">
        <v>45828</v>
      </c>
      <c r="E126" s="16"/>
      <c r="F126" s="14" t="s">
        <v>1583</v>
      </c>
      <c r="G126" s="14" t="s">
        <v>1584</v>
      </c>
      <c r="H126" s="14" t="s">
        <v>1577</v>
      </c>
      <c r="I126" s="15">
        <v>1857</v>
      </c>
      <c r="J126" s="77">
        <v>5</v>
      </c>
      <c r="K126" s="92"/>
    </row>
    <row r="127" spans="1:11" ht="30" x14ac:dyDescent="0.25">
      <c r="A127" s="14" t="s">
        <v>1506</v>
      </c>
      <c r="B127" s="14" t="s">
        <v>1585</v>
      </c>
      <c r="C127" s="14" t="s">
        <v>1587</v>
      </c>
      <c r="D127" s="16">
        <v>45833</v>
      </c>
      <c r="E127" s="16"/>
      <c r="F127" s="14" t="s">
        <v>1586</v>
      </c>
      <c r="G127" s="14" t="s">
        <v>1584</v>
      </c>
      <c r="H127" s="14" t="s">
        <v>1577</v>
      </c>
      <c r="I127" s="15">
        <v>686</v>
      </c>
      <c r="J127" s="77">
        <v>5</v>
      </c>
      <c r="K127" s="92"/>
    </row>
    <row r="128" spans="1:11" ht="30" x14ac:dyDescent="0.25">
      <c r="A128" s="14" t="s">
        <v>1506</v>
      </c>
      <c r="B128" s="14" t="s">
        <v>1591</v>
      </c>
      <c r="C128" s="14" t="s">
        <v>1588</v>
      </c>
      <c r="D128" s="16">
        <v>45834</v>
      </c>
      <c r="E128" s="16"/>
      <c r="F128" s="14" t="s">
        <v>1590</v>
      </c>
      <c r="G128" s="14" t="s">
        <v>1595</v>
      </c>
      <c r="H128" s="14" t="s">
        <v>1589</v>
      </c>
      <c r="I128" s="15">
        <v>270.60000000000002</v>
      </c>
      <c r="J128" s="77">
        <v>5</v>
      </c>
      <c r="K128" s="92"/>
    </row>
    <row r="129" spans="1:11" ht="30" x14ac:dyDescent="0.25">
      <c r="A129" s="14" t="s">
        <v>1506</v>
      </c>
      <c r="B129" s="14" t="s">
        <v>1645</v>
      </c>
      <c r="C129" s="14" t="s">
        <v>1646</v>
      </c>
      <c r="D129" s="16">
        <v>45834</v>
      </c>
      <c r="E129" s="16"/>
      <c r="F129" s="14" t="s">
        <v>1644</v>
      </c>
      <c r="G129" s="14" t="s">
        <v>1596</v>
      </c>
      <c r="H129" s="14" t="s">
        <v>1594</v>
      </c>
      <c r="I129" s="15">
        <v>156</v>
      </c>
      <c r="J129" s="77">
        <v>4</v>
      </c>
      <c r="K129" s="92"/>
    </row>
    <row r="130" spans="1:11" ht="12.5" x14ac:dyDescent="0.25">
      <c r="A130" s="14" t="s">
        <v>1506</v>
      </c>
      <c r="B130" s="14" t="s">
        <v>1592</v>
      </c>
      <c r="C130" s="14" t="s">
        <v>1593</v>
      </c>
      <c r="D130" s="16">
        <v>45838</v>
      </c>
      <c r="E130" s="16"/>
      <c r="F130" s="14" t="s">
        <v>1518</v>
      </c>
      <c r="G130" s="14" t="s">
        <v>1520</v>
      </c>
      <c r="H130" s="14" t="s">
        <v>1519</v>
      </c>
      <c r="I130" s="15">
        <v>5</v>
      </c>
      <c r="J130" s="77">
        <v>4</v>
      </c>
      <c r="K130" s="92"/>
    </row>
    <row r="131" spans="1:11" ht="20" x14ac:dyDescent="0.25">
      <c r="A131" s="14" t="s">
        <v>1506</v>
      </c>
      <c r="B131" s="14" t="s">
        <v>1615</v>
      </c>
      <c r="C131" s="14" t="s">
        <v>1616</v>
      </c>
      <c r="D131" s="16">
        <v>46000</v>
      </c>
      <c r="E131" s="16"/>
      <c r="F131" s="14" t="s">
        <v>1647</v>
      </c>
      <c r="G131" s="14" t="s">
        <v>1613</v>
      </c>
      <c r="H131" s="14" t="s">
        <v>1614</v>
      </c>
      <c r="I131" s="15">
        <v>671.97</v>
      </c>
      <c r="J131" s="77">
        <v>1</v>
      </c>
      <c r="K131" s="92"/>
    </row>
    <row r="132" spans="1:11" ht="30" x14ac:dyDescent="0.25">
      <c r="A132" s="14" t="s">
        <v>1506</v>
      </c>
      <c r="B132" s="14" t="s">
        <v>1617</v>
      </c>
      <c r="C132" s="14" t="s">
        <v>1616</v>
      </c>
      <c r="D132" s="16">
        <v>46000</v>
      </c>
      <c r="E132" s="16"/>
      <c r="F132" s="14" t="s">
        <v>1648</v>
      </c>
      <c r="G132" s="14" t="s">
        <v>1597</v>
      </c>
      <c r="H132" s="14" t="s">
        <v>1598</v>
      </c>
      <c r="I132" s="15">
        <v>1159.24</v>
      </c>
      <c r="J132" s="77">
        <v>1</v>
      </c>
      <c r="K132" s="92"/>
    </row>
    <row r="133" spans="1:11" ht="20" x14ac:dyDescent="0.25">
      <c r="A133" s="14" t="s">
        <v>1506</v>
      </c>
      <c r="B133" s="14" t="s">
        <v>1618</v>
      </c>
      <c r="C133" s="14" t="s">
        <v>1616</v>
      </c>
      <c r="D133" s="16">
        <v>46000</v>
      </c>
      <c r="E133" s="16"/>
      <c r="F133" s="14" t="s">
        <v>1649</v>
      </c>
      <c r="G133" s="14" t="s">
        <v>1599</v>
      </c>
      <c r="H133" s="14" t="s">
        <v>1600</v>
      </c>
      <c r="I133" s="15">
        <v>1182.98</v>
      </c>
      <c r="J133" s="77">
        <v>1</v>
      </c>
      <c r="K133" s="92"/>
    </row>
    <row r="134" spans="1:11" ht="30" x14ac:dyDescent="0.25">
      <c r="A134" s="14" t="s">
        <v>1506</v>
      </c>
      <c r="B134" s="14" t="s">
        <v>1619</v>
      </c>
      <c r="C134" s="14" t="s">
        <v>1616</v>
      </c>
      <c r="D134" s="16">
        <v>46000</v>
      </c>
      <c r="E134" s="16"/>
      <c r="F134" s="14" t="s">
        <v>1650</v>
      </c>
      <c r="G134" s="14" t="s">
        <v>1601</v>
      </c>
      <c r="H134" s="14" t="s">
        <v>1602</v>
      </c>
      <c r="I134" s="15">
        <v>1772.76</v>
      </c>
      <c r="J134" s="77">
        <v>1</v>
      </c>
      <c r="K134" s="92"/>
    </row>
    <row r="135" spans="1:11" ht="30" x14ac:dyDescent="0.25">
      <c r="A135" s="14" t="s">
        <v>1506</v>
      </c>
      <c r="B135" s="14" t="s">
        <v>1620</v>
      </c>
      <c r="C135" s="14" t="s">
        <v>1616</v>
      </c>
      <c r="D135" s="16">
        <v>46000</v>
      </c>
      <c r="E135" s="16"/>
      <c r="F135" s="14" t="s">
        <v>1651</v>
      </c>
      <c r="G135" s="14" t="s">
        <v>1603</v>
      </c>
      <c r="H135" s="14" t="s">
        <v>1604</v>
      </c>
      <c r="I135" s="15">
        <v>1654.95</v>
      </c>
      <c r="J135" s="77">
        <v>1</v>
      </c>
      <c r="K135" s="92"/>
    </row>
    <row r="136" spans="1:11" ht="20" x14ac:dyDescent="0.25">
      <c r="A136" s="14" t="s">
        <v>1506</v>
      </c>
      <c r="B136" s="14" t="s">
        <v>1621</v>
      </c>
      <c r="C136" s="14" t="s">
        <v>1616</v>
      </c>
      <c r="D136" s="16">
        <v>46000</v>
      </c>
      <c r="E136" s="16"/>
      <c r="F136" s="14" t="s">
        <v>1649</v>
      </c>
      <c r="G136" s="14" t="s">
        <v>1605</v>
      </c>
      <c r="H136" s="14" t="s">
        <v>1606</v>
      </c>
      <c r="I136" s="15">
        <v>330.48</v>
      </c>
      <c r="J136" s="77">
        <v>1</v>
      </c>
      <c r="K136" s="92"/>
    </row>
    <row r="137" spans="1:11" ht="30" x14ac:dyDescent="0.25">
      <c r="A137" s="14" t="s">
        <v>1506</v>
      </c>
      <c r="B137" s="14" t="s">
        <v>1622</v>
      </c>
      <c r="C137" s="14" t="s">
        <v>1616</v>
      </c>
      <c r="D137" s="16">
        <v>46000</v>
      </c>
      <c r="E137" s="16"/>
      <c r="F137" s="14" t="s">
        <v>1652</v>
      </c>
      <c r="G137" s="14" t="s">
        <v>1607</v>
      </c>
      <c r="H137" s="14" t="s">
        <v>1608</v>
      </c>
      <c r="I137" s="15">
        <v>308.44</v>
      </c>
      <c r="J137" s="77">
        <v>1</v>
      </c>
      <c r="K137" s="92"/>
    </row>
    <row r="138" spans="1:11" ht="30" x14ac:dyDescent="0.25">
      <c r="A138" s="14" t="s">
        <v>1506</v>
      </c>
      <c r="B138" s="14" t="s">
        <v>1623</v>
      </c>
      <c r="C138" s="14" t="s">
        <v>1616</v>
      </c>
      <c r="D138" s="16">
        <v>46000</v>
      </c>
      <c r="E138" s="16"/>
      <c r="F138" s="14" t="s">
        <v>1653</v>
      </c>
      <c r="G138" s="14" t="s">
        <v>1609</v>
      </c>
      <c r="H138" s="14" t="s">
        <v>1610</v>
      </c>
      <c r="I138" s="15">
        <v>308.44</v>
      </c>
      <c r="J138" s="77">
        <v>1</v>
      </c>
      <c r="K138" s="92"/>
    </row>
    <row r="139" spans="1:11" ht="30" x14ac:dyDescent="0.25">
      <c r="A139" s="14" t="s">
        <v>1506</v>
      </c>
      <c r="B139" s="14" t="s">
        <v>1624</v>
      </c>
      <c r="C139" s="14" t="s">
        <v>1616</v>
      </c>
      <c r="D139" s="16">
        <v>46000</v>
      </c>
      <c r="E139" s="16"/>
      <c r="F139" s="14" t="s">
        <v>1654</v>
      </c>
      <c r="G139" s="14" t="s">
        <v>1611</v>
      </c>
      <c r="H139" s="14" t="s">
        <v>1612</v>
      </c>
      <c r="I139" s="15">
        <v>439.59</v>
      </c>
      <c r="J139" s="77">
        <v>1</v>
      </c>
      <c r="K139" s="92"/>
    </row>
    <row r="140" spans="1:11" ht="50" x14ac:dyDescent="0.25">
      <c r="A140" s="14" t="s">
        <v>1506</v>
      </c>
      <c r="B140" s="14" t="s">
        <v>1625</v>
      </c>
      <c r="C140" s="14" t="s">
        <v>1626</v>
      </c>
      <c r="D140" s="16">
        <v>45845</v>
      </c>
      <c r="E140" s="16"/>
      <c r="F140" s="14" t="s">
        <v>1627</v>
      </c>
      <c r="G140" s="14" t="s">
        <v>1569</v>
      </c>
      <c r="H140" s="14" t="s">
        <v>1570</v>
      </c>
      <c r="I140" s="15">
        <v>6192</v>
      </c>
      <c r="J140" s="77">
        <v>3</v>
      </c>
      <c r="K140" s="92"/>
    </row>
    <row r="141" spans="1:11" ht="50" x14ac:dyDescent="0.25">
      <c r="A141" s="14" t="s">
        <v>1506</v>
      </c>
      <c r="B141" s="14" t="s">
        <v>1628</v>
      </c>
      <c r="C141" s="14" t="s">
        <v>1629</v>
      </c>
      <c r="D141" s="16">
        <v>45846</v>
      </c>
      <c r="E141" s="16"/>
      <c r="F141" s="14" t="s">
        <v>1630</v>
      </c>
      <c r="G141" s="14"/>
      <c r="H141" s="14" t="s">
        <v>1631</v>
      </c>
      <c r="I141" s="15">
        <v>6200.5</v>
      </c>
      <c r="J141" s="77">
        <v>3</v>
      </c>
      <c r="K141" s="92"/>
    </row>
    <row r="142" spans="1:11" ht="50" x14ac:dyDescent="0.25">
      <c r="A142" s="14" t="s">
        <v>1506</v>
      </c>
      <c r="B142" s="14" t="s">
        <v>1632</v>
      </c>
      <c r="C142" s="14" t="s">
        <v>1633</v>
      </c>
      <c r="D142" s="16">
        <v>45917</v>
      </c>
      <c r="E142" s="16"/>
      <c r="F142" s="14" t="s">
        <v>1634</v>
      </c>
      <c r="G142" s="14" t="s">
        <v>1635</v>
      </c>
      <c r="H142" s="14" t="s">
        <v>1636</v>
      </c>
      <c r="I142" s="15">
        <v>315</v>
      </c>
      <c r="J142" s="77">
        <v>3</v>
      </c>
      <c r="K142" s="92"/>
    </row>
    <row r="143" spans="1:11" ht="50" x14ac:dyDescent="0.25">
      <c r="A143" s="14" t="s">
        <v>1506</v>
      </c>
      <c r="B143" s="14" t="s">
        <v>1637</v>
      </c>
      <c r="C143" s="14" t="s">
        <v>1638</v>
      </c>
      <c r="D143" s="16">
        <v>45924</v>
      </c>
      <c r="E143" s="16"/>
      <c r="F143" s="14" t="s">
        <v>1634</v>
      </c>
      <c r="G143" s="14" t="s">
        <v>1635</v>
      </c>
      <c r="H143" s="14" t="s">
        <v>1636</v>
      </c>
      <c r="I143" s="15">
        <v>765.8</v>
      </c>
      <c r="J143" s="77">
        <v>3</v>
      </c>
      <c r="K143" s="92"/>
    </row>
    <row r="144" spans="1:11" ht="50" x14ac:dyDescent="0.25">
      <c r="A144" s="14" t="s">
        <v>1506</v>
      </c>
      <c r="B144" s="14" t="s">
        <v>1639</v>
      </c>
      <c r="C144" s="14" t="s">
        <v>1640</v>
      </c>
      <c r="D144" s="16">
        <v>45936</v>
      </c>
      <c r="E144" s="16"/>
      <c r="F144" s="14" t="s">
        <v>1641</v>
      </c>
      <c r="G144" s="14" t="s">
        <v>1642</v>
      </c>
      <c r="H144" s="14" t="s">
        <v>1643</v>
      </c>
      <c r="I144" s="15">
        <v>396</v>
      </c>
      <c r="J144" s="77">
        <v>3</v>
      </c>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31:A144 A145:J5000">
    <cfRule type="expression" dxfId="89" priority="27" stopIfTrue="1">
      <formula>$A131&lt;&gt;""</formula>
    </cfRule>
  </conditionalFormatting>
  <conditionalFormatting sqref="A1055:H1066">
    <cfRule type="expression" dxfId="88" priority="56" stopIfTrue="1">
      <formula>$A1055&lt;&gt;""</formula>
    </cfRule>
  </conditionalFormatting>
  <conditionalFormatting sqref="A1112:H1113">
    <cfRule type="expression" dxfId="87" priority="67" stopIfTrue="1">
      <formula>$A1112&lt;&gt;""</formula>
    </cfRule>
  </conditionalFormatting>
  <conditionalFormatting sqref="A107:J130">
    <cfRule type="expression" dxfId="86" priority="12" stopIfTrue="1">
      <formula>$A107&lt;&gt;""</formula>
    </cfRule>
  </conditionalFormatting>
  <conditionalFormatting sqref="B472:E477">
    <cfRule type="expression" dxfId="85" priority="158" stopIfTrue="1">
      <formula>$A472&lt;&gt;""</formula>
    </cfRule>
  </conditionalFormatting>
  <conditionalFormatting sqref="B484:E488">
    <cfRule type="expression" dxfId="84" priority="193" stopIfTrue="1">
      <formula>$A484&lt;&gt;""</formula>
    </cfRule>
  </conditionalFormatting>
  <conditionalFormatting sqref="B689:E689">
    <cfRule type="expression" dxfId="83" priority="85" stopIfTrue="1">
      <formula>$A689&lt;&gt;""</formula>
    </cfRule>
  </conditionalFormatting>
  <conditionalFormatting sqref="B691:E691 H691:I691 B692:I693 B694:E699 H694:I699">
    <cfRule type="expression" dxfId="82" priority="45" stopIfTrue="1">
      <formula>$A691&lt;&gt;""</formula>
    </cfRule>
  </conditionalFormatting>
  <conditionalFormatting sqref="B701:E701 H701:I701">
    <cfRule type="expression" dxfId="81" priority="36" stopIfTrue="1">
      <formula>$A701&lt;&gt;""</formula>
    </cfRule>
  </conditionalFormatting>
  <conditionalFormatting sqref="B819:E819">
    <cfRule type="expression" dxfId="80" priority="108" stopIfTrue="1">
      <formula>$A819&lt;&gt;""</formula>
    </cfRule>
  </conditionalFormatting>
  <conditionalFormatting sqref="B1110:E1110">
    <cfRule type="expression" dxfId="79" priority="154" stopIfTrue="1">
      <formula>$A1110&lt;&gt;""</formula>
    </cfRule>
  </conditionalFormatting>
  <conditionalFormatting sqref="B1114:E1114">
    <cfRule type="expression" dxfId="78" priority="210" stopIfTrue="1">
      <formula>$A1114&lt;&gt;""</formula>
    </cfRule>
  </conditionalFormatting>
  <conditionalFormatting sqref="B1131:E1136">
    <cfRule type="expression" dxfId="77" priority="200" stopIfTrue="1">
      <formula>$A1131&lt;&gt;""</formula>
    </cfRule>
  </conditionalFormatting>
  <conditionalFormatting sqref="B1138:E1148">
    <cfRule type="expression" dxfId="76" priority="68" stopIfTrue="1">
      <formula>$A1138&lt;&gt;""</formula>
    </cfRule>
  </conditionalFormatting>
  <conditionalFormatting sqref="B1152:E1152">
    <cfRule type="expression" dxfId="75" priority="94" stopIfTrue="1">
      <formula>$A1152&lt;&gt;""</formula>
    </cfRule>
  </conditionalFormatting>
  <conditionalFormatting sqref="B1253:E1260 I1253:J1270">
    <cfRule type="expression" dxfId="74" priority="144" stopIfTrue="1">
      <formula>$A1253&lt;&gt;""</formula>
    </cfRule>
  </conditionalFormatting>
  <conditionalFormatting sqref="B1293:E1301">
    <cfRule type="expression" dxfId="73" priority="179" stopIfTrue="1">
      <formula>$A1293&lt;&gt;""</formula>
    </cfRule>
  </conditionalFormatting>
  <conditionalFormatting sqref="B1303:E1326">
    <cfRule type="expression" dxfId="72" priority="58" stopIfTrue="1">
      <formula>$A1303&lt;&gt;""</formula>
    </cfRule>
  </conditionalFormatting>
  <conditionalFormatting sqref="B1360:E1363">
    <cfRule type="expression" dxfId="71" priority="75" stopIfTrue="1">
      <formula>$A1360&lt;&gt;""</formula>
    </cfRule>
  </conditionalFormatting>
  <conditionalFormatting sqref="B1365:E1367">
    <cfRule type="expression" dxfId="70" priority="280" stopIfTrue="1">
      <formula>$A1365&lt;&gt;""</formula>
    </cfRule>
  </conditionalFormatting>
  <conditionalFormatting sqref="B1369:E1379">
    <cfRule type="expression" dxfId="69" priority="99" stopIfTrue="1">
      <formula>$A1369&lt;&gt;""</formula>
    </cfRule>
  </conditionalFormatting>
  <conditionalFormatting sqref="B1393:E1404">
    <cfRule type="expression" dxfId="68" priority="137" stopIfTrue="1">
      <formula>$A1393&lt;&gt;""</formula>
    </cfRule>
  </conditionalFormatting>
  <conditionalFormatting sqref="B1412:E1450">
    <cfRule type="expression" dxfId="67" priority="174" stopIfTrue="1">
      <formula>$A1412&lt;&gt;""</formula>
    </cfRule>
  </conditionalFormatting>
  <conditionalFormatting sqref="B1453:E1458">
    <cfRule type="expression" dxfId="66" priority="244" stopIfTrue="1">
      <formula>$A1453&lt;&gt;""</formula>
    </cfRule>
  </conditionalFormatting>
  <conditionalFormatting sqref="B489:G489">
    <cfRule type="expression" dxfId="65" priority="194" stopIfTrue="1">
      <formula>$A489&lt;&gt;""</formula>
    </cfRule>
  </conditionalFormatting>
  <conditionalFormatting sqref="B478:H483">
    <cfRule type="expression" dxfId="64" priority="214" stopIfTrue="1">
      <formula>$A478&lt;&gt;""</formula>
    </cfRule>
  </conditionalFormatting>
  <conditionalFormatting sqref="B490:H496">
    <cfRule type="expression" dxfId="63" priority="170" stopIfTrue="1">
      <formula>$A490&lt;&gt;""</formula>
    </cfRule>
  </conditionalFormatting>
  <conditionalFormatting sqref="B1067:H1082">
    <cfRule type="expression" dxfId="62" priority="240" stopIfTrue="1">
      <formula>$A1067&lt;&gt;""</formula>
    </cfRule>
  </conditionalFormatting>
  <conditionalFormatting sqref="B1272:H1274 B1275:E1288 H1275:H1288">
    <cfRule type="expression" dxfId="61" priority="169" stopIfTrue="1">
      <formula>$A1272&lt;&gt;""</formula>
    </cfRule>
  </conditionalFormatting>
  <conditionalFormatting sqref="B1290:H1292">
    <cfRule type="expression" dxfId="60" priority="64" stopIfTrue="1">
      <formula>$A1290&lt;&gt;""</formula>
    </cfRule>
  </conditionalFormatting>
  <conditionalFormatting sqref="B1364:H1364">
    <cfRule type="expression" dxfId="59" priority="310" stopIfTrue="1">
      <formula>$A1364&lt;&gt;""</formula>
    </cfRule>
  </conditionalFormatting>
  <conditionalFormatting sqref="B1380:H1385">
    <cfRule type="expression" dxfId="58" priority="38" stopIfTrue="1">
      <formula>$A1380&lt;&gt;""</formula>
    </cfRule>
  </conditionalFormatting>
  <conditionalFormatting sqref="B1410:H1411">
    <cfRule type="expression" dxfId="57" priority="217" stopIfTrue="1">
      <formula>$A1410&lt;&gt;""</formula>
    </cfRule>
  </conditionalFormatting>
  <conditionalFormatting sqref="B175:I189 I190:I227 B190:E241">
    <cfRule type="expression" dxfId="56" priority="267" stopIfTrue="1">
      <formula>$A175&lt;&gt;""</formula>
    </cfRule>
  </conditionalFormatting>
  <conditionalFormatting sqref="B242:I242 B243:E275">
    <cfRule type="expression" dxfId="55" priority="281" stopIfTrue="1">
      <formula>$A242&lt;&gt;""</formula>
    </cfRule>
  </conditionalFormatting>
  <conditionalFormatting sqref="B276:I320">
    <cfRule type="expression" dxfId="54" priority="114" stopIfTrue="1">
      <formula>$A276&lt;&gt;""</formula>
    </cfRule>
  </conditionalFormatting>
  <conditionalFormatting sqref="B497:I499">
    <cfRule type="expression" dxfId="53" priority="116" stopIfTrue="1">
      <formula>$A497&lt;&gt;""</formula>
    </cfRule>
  </conditionalFormatting>
  <conditionalFormatting sqref="B645:I688">
    <cfRule type="expression" dxfId="52" priority="277" stopIfTrue="1">
      <formula>$A645&lt;&gt;""</formula>
    </cfRule>
  </conditionalFormatting>
  <conditionalFormatting sqref="B690:I690">
    <cfRule type="expression" dxfId="51" priority="43" stopIfTrue="1">
      <formula>$A690&lt;&gt;""</formula>
    </cfRule>
  </conditionalFormatting>
  <conditionalFormatting sqref="B1137:I1137">
    <cfRule type="expression" dxfId="50" priority="168" stopIfTrue="1">
      <formula>$A1137&lt;&gt;""</formula>
    </cfRule>
  </conditionalFormatting>
  <conditionalFormatting sqref="B1149:I1151">
    <cfRule type="expression" dxfId="49" priority="37" stopIfTrue="1">
      <formula>$A1149&lt;&gt;""</formula>
    </cfRule>
  </conditionalFormatting>
  <conditionalFormatting sqref="B1153:I1157">
    <cfRule type="expression" dxfId="48" priority="39" stopIfTrue="1">
      <formula>$A1153&lt;&gt;""</formula>
    </cfRule>
  </conditionalFormatting>
  <conditionalFormatting sqref="B1271:I1271 I1272:I1288">
    <cfRule type="expression" dxfId="47" priority="172" stopIfTrue="1">
      <formula>$A1271&lt;&gt;""</formula>
    </cfRule>
  </conditionalFormatting>
  <conditionalFormatting sqref="B1368:I1368">
    <cfRule type="expression" dxfId="46" priority="167" stopIfTrue="1">
      <formula>$A1368&lt;&gt;""</formula>
    </cfRule>
  </conditionalFormatting>
  <conditionalFormatting sqref="B131:J163">
    <cfRule type="expression" dxfId="45" priority="1" stopIfTrue="1">
      <formula>$A131&lt;&gt;""</formula>
    </cfRule>
  </conditionalFormatting>
  <conditionalFormatting sqref="B360:J420">
    <cfRule type="expression" dxfId="44" priority="282" stopIfTrue="1">
      <formula>$A360&lt;&gt;""</formula>
    </cfRule>
  </conditionalFormatting>
  <conditionalFormatting sqref="B457:J458">
    <cfRule type="expression" dxfId="43" priority="243" stopIfTrue="1">
      <formula>$A457&lt;&gt;""</formula>
    </cfRule>
  </conditionalFormatting>
  <conditionalFormatting sqref="B599:J625">
    <cfRule type="expression" dxfId="42" priority="23" stopIfTrue="1">
      <formula>$A599&lt;&gt;""</formula>
    </cfRule>
  </conditionalFormatting>
  <conditionalFormatting sqref="B1053:J1054">
    <cfRule type="expression" dxfId="41" priority="238" stopIfTrue="1">
      <formula>$A1053&lt;&gt;""</formula>
    </cfRule>
  </conditionalFormatting>
  <conditionalFormatting sqref="B1127:J1130">
    <cfRule type="expression" dxfId="40" priority="28" stopIfTrue="1">
      <formula>$A1127&lt;&gt;""</formula>
    </cfRule>
  </conditionalFormatting>
  <conditionalFormatting sqref="B1158:J1252">
    <cfRule type="expression" dxfId="39" priority="54" stopIfTrue="1">
      <formula>$A1158&lt;&gt;""</formula>
    </cfRule>
  </conditionalFormatting>
  <conditionalFormatting sqref="B1406:J1406">
    <cfRule type="expression" dxfId="38" priority="219" stopIfTrue="1">
      <formula>$A1406&lt;&gt;""</formula>
    </cfRule>
  </conditionalFormatting>
  <conditionalFormatting sqref="B1461:J4374">
    <cfRule type="expression" dxfId="37" priority="63" stopIfTrue="1">
      <formula>$A1461&lt;&gt;""</formula>
    </cfRule>
  </conditionalFormatting>
  <conditionalFormatting sqref="F191:H195">
    <cfRule type="expression" dxfId="36" priority="145" stopIfTrue="1">
      <formula>$A191&lt;&gt;""</formula>
    </cfRule>
  </conditionalFormatting>
  <conditionalFormatting sqref="F198:H199">
    <cfRule type="expression" dxfId="35" priority="139" stopIfTrue="1">
      <formula>$A198&lt;&gt;""</formula>
    </cfRule>
  </conditionalFormatting>
  <conditionalFormatting sqref="F472:H473">
    <cfRule type="expression" dxfId="34" priority="160" stopIfTrue="1">
      <formula>$A472&lt;&gt;""</formula>
    </cfRule>
  </conditionalFormatting>
  <conditionalFormatting sqref="F476:H477">
    <cfRule type="expression" dxfId="33" priority="250" stopIfTrue="1">
      <formula>$A476&lt;&gt;""</formula>
    </cfRule>
  </conditionalFormatting>
  <conditionalFormatting sqref="F484:H486 H487:H489">
    <cfRule type="expression" dxfId="32" priority="192" stopIfTrue="1">
      <formula>$A484&lt;&gt;""</formula>
    </cfRule>
  </conditionalFormatting>
  <conditionalFormatting sqref="F1131:H1131">
    <cfRule type="expression" dxfId="31" priority="301" stopIfTrue="1">
      <formula>$A1131&lt;&gt;""</formula>
    </cfRule>
  </conditionalFormatting>
  <conditionalFormatting sqref="F1255:H1260">
    <cfRule type="expression" dxfId="30" priority="143" stopIfTrue="1">
      <formula>$A1255&lt;&gt;""</formula>
    </cfRule>
  </conditionalFormatting>
  <conditionalFormatting sqref="F170:I172">
    <cfRule type="expression" dxfId="29" priority="271" stopIfTrue="1">
      <formula>$A170&lt;&gt;""</formula>
    </cfRule>
  </conditionalFormatting>
  <conditionalFormatting sqref="F247:I247">
    <cfRule type="expression" dxfId="28" priority="171"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311" stopIfTrue="1">
      <formula>$A164&lt;&gt;""</formula>
    </cfRule>
  </conditionalFormatting>
  <conditionalFormatting sqref="H190">
    <cfRule type="expression" dxfId="26" priority="151" stopIfTrue="1">
      <formula>$A190&lt;&gt;""</formula>
    </cfRule>
  </conditionalFormatting>
  <conditionalFormatting sqref="H196:H197">
    <cfRule type="expression" dxfId="25" priority="140" stopIfTrue="1">
      <formula>$A196&lt;&gt;""</formula>
    </cfRule>
  </conditionalFormatting>
  <conditionalFormatting sqref="H200:H228">
    <cfRule type="expression" dxfId="24" priority="30" stopIfTrue="1">
      <formula>$A200&lt;&gt;""</formula>
    </cfRule>
  </conditionalFormatting>
  <conditionalFormatting sqref="H474:H475">
    <cfRule type="expression" dxfId="23" priority="164" stopIfTrue="1">
      <formula>$A474&lt;&gt;""</formula>
    </cfRule>
  </conditionalFormatting>
  <conditionalFormatting sqref="H1132:H1136">
    <cfRule type="expression" dxfId="22" priority="202" stopIfTrue="1">
      <formula>$A1132&lt;&gt;""</formula>
    </cfRule>
  </conditionalFormatting>
  <conditionalFormatting sqref="H1254">
    <cfRule type="expression" dxfId="21" priority="213" stopIfTrue="1">
      <formula>$A1254&lt;&gt;""</formula>
    </cfRule>
  </conditionalFormatting>
  <conditionalFormatting sqref="H1293:H1301">
    <cfRule type="expression" dxfId="20" priority="181" stopIfTrue="1">
      <formula>$A1293&lt;&gt;""</formula>
    </cfRule>
  </conditionalFormatting>
  <conditionalFormatting sqref="H1303:H1326">
    <cfRule type="expression" dxfId="19" priority="60" stopIfTrue="1">
      <formula>$A1303&lt;&gt;""</formula>
    </cfRule>
  </conditionalFormatting>
  <conditionalFormatting sqref="H1365:H1367">
    <cfRule type="expression" dxfId="18" priority="279" stopIfTrue="1">
      <formula>$A1365&lt;&gt;""</formula>
    </cfRule>
  </conditionalFormatting>
  <conditionalFormatting sqref="H1369:H1379">
    <cfRule type="expression" dxfId="17" priority="40" stopIfTrue="1">
      <formula>$A1369&lt;&gt;""</formula>
    </cfRule>
  </conditionalFormatting>
  <conditionalFormatting sqref="H1412">
    <cfRule type="expression" dxfId="16" priority="176" stopIfTrue="1">
      <formula>$A1412&lt;&gt;""</formula>
    </cfRule>
  </conditionalFormatting>
  <conditionalFormatting sqref="H1453:H1458">
    <cfRule type="expression" dxfId="15" priority="246" stopIfTrue="1">
      <formula>$A1453&lt;&gt;""</formula>
    </cfRule>
  </conditionalFormatting>
  <conditionalFormatting sqref="H173:I174">
    <cfRule type="expression" dxfId="14" priority="268" stopIfTrue="1">
      <formula>$A173&lt;&gt;""</formula>
    </cfRule>
  </conditionalFormatting>
  <conditionalFormatting sqref="H243:I246">
    <cfRule type="expression" dxfId="13" priority="270" stopIfTrue="1">
      <formula>$A243&lt;&gt;""</formula>
    </cfRule>
  </conditionalFormatting>
  <conditionalFormatting sqref="H248:I248">
    <cfRule type="expression" dxfId="12" priority="146" stopIfTrue="1">
      <formula>$A248&lt;&gt;""</formula>
    </cfRule>
  </conditionalFormatting>
  <conditionalFormatting sqref="H689:I689">
    <cfRule type="expression" dxfId="11" priority="87" stopIfTrue="1">
      <formula>$A689&lt;&gt;""</formula>
    </cfRule>
  </conditionalFormatting>
  <conditionalFormatting sqref="H1138:I1148">
    <cfRule type="expression" dxfId="10" priority="71" stopIfTrue="1">
      <formula>$A1138&lt;&gt;""</formula>
    </cfRule>
  </conditionalFormatting>
  <conditionalFormatting sqref="H1152:I1152">
    <cfRule type="expression" dxfId="9" priority="97" stopIfTrue="1">
      <formula>$A1152&lt;&gt;""</formula>
    </cfRule>
  </conditionalFormatting>
  <conditionalFormatting sqref="H1110:J1110">
    <cfRule type="expression" dxfId="8" priority="153" stopIfTrue="1">
      <formula>$A1110&lt;&gt;""</formula>
    </cfRule>
  </conditionalFormatting>
  <conditionalFormatting sqref="H1360:J1363">
    <cfRule type="expression" dxfId="7" priority="76" stopIfTrue="1">
      <formula>$A1360&lt;&gt;""</formula>
    </cfRule>
  </conditionalFormatting>
  <conditionalFormatting sqref="H1393:J1404">
    <cfRule type="expression" dxfId="6" priority="35" stopIfTrue="1">
      <formula>$A1393&lt;&gt;""</formula>
    </cfRule>
  </conditionalFormatting>
  <conditionalFormatting sqref="I472:I496">
    <cfRule type="expression" dxfId="5" priority="161" stopIfTrue="1">
      <formula>$A472&lt;&gt;""</formula>
    </cfRule>
  </conditionalFormatting>
  <conditionalFormatting sqref="I1369:I1385">
    <cfRule type="expression" dxfId="4" priority="103" stopIfTrue="1">
      <formula>$A1369&lt;&gt;""</formula>
    </cfRule>
  </conditionalFormatting>
  <conditionalFormatting sqref="I1290:J1359">
    <cfRule type="expression" dxfId="3" priority="183" stopIfTrue="1">
      <formula>$A1290&lt;&gt;""</formula>
    </cfRule>
  </conditionalFormatting>
  <conditionalFormatting sqref="I1410:J1447">
    <cfRule type="expression" dxfId="2" priority="178" stopIfTrue="1">
      <formula>$A1410&lt;&gt;""</formula>
    </cfRule>
  </conditionalFormatting>
  <conditionalFormatting sqref="I1451:J1458">
    <cfRule type="expression" dxfId="1" priority="276" stopIfTrue="1">
      <formula>$A1451&lt;&gt;""</formula>
    </cfRule>
  </conditionalFormatting>
  <conditionalFormatting sqref="J1137:J1157">
    <cfRule type="expression" dxfId="0" priority="303"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8:G117 G119: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16384" width="9.17968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69" t="str">
        <f>Spolu!C3&amp;", "&amp;Spolu!C6</f>
        <v>Združenie šípkarských organizácií, Szakkayho 1, Košice, 040 01</v>
      </c>
      <c r="B1" s="369"/>
      <c r="C1" s="36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0" t="s">
        <v>1276</v>
      </c>
      <c r="F3" s="371"/>
      <c r="N3" s="137" t="str">
        <f t="shared" si="0"/>
        <v>c - príspevok Slovenskému paralympijskému výboru</v>
      </c>
      <c r="O3" s="137" t="s">
        <v>342</v>
      </c>
      <c r="P3" s="137" t="s">
        <v>343</v>
      </c>
    </row>
    <row r="4" spans="1:16" ht="45.75" customHeight="1" x14ac:dyDescent="0.25">
      <c r="E4" s="371"/>
      <c r="F4" s="371"/>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1"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15" customHeight="1" thickBot="1" x14ac:dyDescent="0.3">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t="str">
        <f>Spolu!C4</f>
        <v>35538015</v>
      </c>
      <c r="E18" s="147" t="s">
        <v>1301</v>
      </c>
      <c r="F18" s="284">
        <v>421947749446</v>
      </c>
      <c r="N18" s="137" t="str">
        <f t="shared" si="0"/>
        <v xml:space="preserve">r - </v>
      </c>
      <c r="O18" s="137" t="s">
        <v>368</v>
      </c>
    </row>
    <row r="19" spans="1:16" x14ac:dyDescent="0.25">
      <c r="E19" s="147" t="s">
        <v>1302</v>
      </c>
      <c r="F19" s="284">
        <v>421947749756</v>
      </c>
    </row>
    <row r="20" spans="1:16" ht="16" thickBot="1" x14ac:dyDescent="0.3">
      <c r="A20" s="139" t="s">
        <v>396</v>
      </c>
      <c r="B20" s="143">
        <f>F6</f>
        <v>0</v>
      </c>
      <c r="E20" s="208"/>
      <c r="F20" s="285"/>
    </row>
    <row r="21" spans="1:16" ht="189" customHeight="1" x14ac:dyDescent="0.25">
      <c r="B21" s="211"/>
      <c r="C21" s="144"/>
    </row>
    <row r="22" spans="1:16" ht="39.75" customHeight="1" x14ac:dyDescent="0.25">
      <c r="B22" s="368" t="s">
        <v>1303</v>
      </c>
      <c r="C22" s="36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2026-04-16T06:41:02Z</cp:lastPrinted>
  <dcterms:created xsi:type="dcterms:W3CDTF">2017-02-20T06:20:12Z</dcterms:created>
  <dcterms:modified xsi:type="dcterms:W3CDTF">2026-04-16T06:41:27Z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