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kgallo15\Desktop\SCZ vyúčtovanie\"/>
    </mc:Choice>
  </mc:AlternateContent>
  <xr:revisionPtr revIDLastSave="0" documentId="13_ncr:1_{99E5CB31-2E8A-4EF2-8461-79A726083796}" xr6:coauthVersionLast="47" xr6:coauthVersionMax="47" xr10:uidLastSave="{00000000-0000-0000-0000-000000000000}"/>
  <bookViews>
    <workbookView xWindow="-120" yWindow="-120" windowWidth="29040" windowHeight="15720"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<sst xmlns="http://schemas.openxmlformats.org/spreadsheetml/2006/main" count="6841" uniqueCount="3143">
  <si>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</si>
  <si>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</si>
  <si>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</si>
  <si>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</si>
  <si>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</si>
  <si>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</si>
  <si>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</si>
  <si>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</si>
  <si>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</si>
  <si>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</si>
  <si>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</si>
  <si>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</si>
  <si>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</si>
  <si>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</si>
  <si>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</si>
  <si>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</si>
  <si>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</si>
  <si>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</si>
  <si>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</si>
  <si>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</si>
  <si>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</si>
  <si>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</si>
  <si>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</si>
  <si>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</si>
  <si>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</si>
  <si>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</si>
  <si>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</si>
  <si>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</si>
  <si>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</si>
  <si>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</si>
  <si>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</si>
  <si>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</si>
  <si>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</si>
  <si>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</si>
  <si>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</si>
  <si>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</si>
  <si>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</si>
  <si>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</si>
  <si>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</si>
  <si>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</si>
  <si>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</si>
  <si>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</si>
  <si>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</si>
  <si>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</si>
  <si>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</si>
  <si>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</si>
  <si>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</si>
  <si>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</si>
  <si>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</si>
  <si>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</si>
  <si>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</si>
  <si>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</si>
  <si>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</si>
  <si>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</si>
  <si>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</si>
  <si>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</si>
  <si>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</si>
  <si>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</si>
  <si>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</si>
  <si>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</si>
  <si>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</si>
  <si>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</si>
  <si>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</si>
  <si>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</si>
  <si>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</si>
  <si>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</si>
  <si>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</si>
  <si>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</si>
  <si>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</si>
  <si>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</si>
  <si>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</si>
  <si>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</si>
  <si>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</si>
  <si>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</si>
  <si>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</si>
  <si>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</si>
  <si>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</si>
  <si>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</si>
  <si>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</si>
  <si>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</si>
  <si>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</si>
  <si>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</si>
  <si>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</si>
  <si>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</si>
  <si>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</si>
  <si>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</si>
  <si>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</si>
  <si>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</si>
  <si>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</si>
  <si>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</si>
  <si>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</si>
  <si>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</si>
  <si>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</si>
  <si>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</si>
  <si>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</si>
  <si>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</si>
  <si>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</si>
  <si>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</si>
  <si>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</si>
  <si>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</si>
  <si>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</si>
  <si>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</si>
  <si>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</si>
  <si>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</si>
  <si>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</si>
  <si>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</si>
  <si>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</si>
  <si>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</si>
  <si>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</si>
  <si>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</si>
  <si>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</si>
  <si>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</si>
  <si>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</si>
  <si>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</si>
  <si>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</si>
  <si>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</si>
  <si>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</si>
  <si>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</si>
  <si>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</si>
  <si>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</si>
  <si>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</si>
  <si>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</si>
  <si>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</si>
  <si>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</si>
  <si>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</si>
  <si>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</si>
  <si>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</si>
  <si>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</si>
  <si>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</si>
  <si>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</si>
  <si>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</si>
  <si>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</si>
  <si>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</si>
  <si>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</si>
  <si>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</si>
  <si>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</si>
  <si>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</si>
  <si>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</si>
  <si>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</si>
  <si>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</si>
  <si>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</si>
  <si>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</si>
  <si>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</si>
  <si>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</si>
  <si>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</si>
  <si>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</si>
  <si>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</si>
  <si>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</si>
  <si>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</si>
  <si>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</si>
  <si>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</si>
  <si>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</si>
  <si>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</si>
  <si>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</si>
  <si>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</si>
  <si>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</si>
  <si>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</si>
  <si>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</si>
  <si>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</si>
  <si>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</si>
  <si>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</si>
  <si>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</si>
  <si>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</si>
  <si>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</si>
  <si>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</si>
  <si>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</si>
  <si>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</si>
  <si>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</si>
  <si>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</si>
  <si>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</si>
  <si>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</si>
  <si>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</si>
  <si>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</si>
  <si>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</si>
  <si>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</si>
  <si>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</si>
  <si>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</si>
  <si>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</si>
  <si>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</si>
  <si>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</si>
  <si>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</si>
  <si>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</si>
  <si>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</si>
  <si>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</si>
  <si>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</si>
  <si>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</si>
  <si>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</si>
  <si>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</si>
  <si>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</si>
  <si>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</si>
  <si>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</si>
  <si>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</si>
  <si>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</si>
  <si>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</si>
  <si>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</si>
  <si>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</si>
  <si>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</si>
  <si>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</si>
  <si>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</si>
  <si>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</si>
  <si>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</si>
  <si>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</si>
  <si>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</si>
  <si>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</si>
  <si>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</si>
  <si>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</si>
  <si>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</si>
  <si>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</si>
  <si>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</si>
  <si>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</si>
  <si>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</si>
  <si>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</si>
  <si>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</si>
  <si>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</si>
  <si>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</si>
  <si>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</si>
  <si>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</si>
  <si>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</si>
  <si>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</si>
  <si>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</si>
  <si>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</si>
  <si>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</si>
  <si>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</si>
  <si>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</si>
  <si>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</si>
  <si>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</si>
  <si>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</si>
  <si>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</si>
  <si>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</si>
  <si>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</si>
  <si>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</si>
  <si>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</si>
  <si>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</si>
  <si>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</si>
  <si>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</si>
  <si>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</si>
  <si>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</si>
  <si>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</si>
  <si>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</si>
  <si>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</si>
  <si>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</si>
  <si>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</si>
  <si>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</si>
  <si>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</si>
  <si>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</si>
  <si>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</si>
  <si>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</si>
  <si>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</si>
  <si>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</si>
  <si>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</si>
  <si>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</si>
  <si>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</si>
  <si>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</si>
  <si>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</si>
  <si>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</si>
  <si>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</si>
  <si>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</si>
  <si>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</si>
  <si>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</si>
  <si>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</si>
  <si>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</si>
  <si>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</si>
  <si>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</si>
  <si>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</si>
  <si>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</si>
  <si>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</si>
  <si>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</si>
  <si>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</si>
  <si>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</si>
  <si>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</si>
  <si>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</si>
  <si>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</si>
  <si>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</si>
  <si>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</si>
  <si>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</si>
  <si>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</si>
  <si>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</si>
  <si>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</si>
  <si>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</si>
  <si>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</si>
  <si>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</si>
  <si>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</si>
  <si>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</si>
  <si>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</si>
  <si>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</si>
  <si>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</si>
  <si>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</si>
  <si>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</si>
  <si>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</si>
  <si>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</si>
  <si>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</si>
  <si>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</si>
  <si>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</si>
  <si>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</si>
  <si>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</si>
  <si>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</si>
  <si>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</si>
  <si>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</si>
  <si>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</si>
  <si>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</si>
  <si>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</si>
  <si>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</si>
  <si>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</si>
  <si>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</si>
  <si>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</si>
  <si>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</si>
  <si>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</si>
  <si>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</si>
  <si>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</si>
  <si>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</si>
  <si>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</si>
  <si>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</si>
  <si>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</si>
  <si>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</si>
  <si>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</si>
  <si>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</si>
  <si>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</si>
  <si>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</si>
  <si>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</si>
  <si>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</si>
  <si>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</si>
  <si>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</si>
  <si>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</si>
  <si>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</si>
  <si>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</si>
  <si>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</si>
  <si>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</si>
  <si>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</si>
  <si>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</si>
  <si>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</si>
  <si>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</si>
  <si>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</si>
  <si>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</si>
  <si>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</si>
  <si>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</si>
  <si>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</si>
  <si>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</si>
  <si>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</si>
  <si>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</si>
  <si>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</si>
  <si>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</si>
  <si>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</si>
  <si>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</si>
  <si>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</si>
  <si>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</si>
  <si>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</si>
  <si>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</si>
  <si>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</si>
  <si>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</si>
  <si>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</si>
  <si>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</si>
  <si>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</si>
  <si>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</si>
  <si>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</si>
  <si>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</si>
  <si>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</si>
  <si>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</si>
  <si>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</si>
  <si>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</si>
  <si>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</si>
  <si>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</si>
  <si>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</si>
  <si>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</si>
  <si>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</si>
  <si>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</si>
  <si>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</si>
  <si>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</si>
  <si>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</si>
  <si>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</si>
  <si>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</si>
  <si>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</si>
  <si>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</si>
  <si>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</si>
  <si>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</si>
  <si>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</si>
  <si>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</si>
  <si>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</si>
  <si>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</si>
  <si>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</si>
  <si>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</si>
  <si>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</si>
  <si>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</si>
  <si>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</si>
  <si>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</si>
  <si>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</si>
  <si>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</si>
  <si>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</si>
  <si>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</si>
  <si>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</si>
  <si>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</si>
  <si>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</si>
  <si>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</si>
  <si>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</si>
  <si>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</si>
  <si>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</si>
  <si>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</si>
  <si>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</si>
  <si>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</si>
  <si>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</si>
  <si>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</si>
  <si>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</si>
  <si>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</si>
  <si>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</si>
  <si>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</si>
  <si>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</si>
  <si>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</si>
  <si>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</si>
  <si>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</si>
  <si>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</si>
  <si>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</si>
  <si>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</si>
  <si>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</si>
  <si>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</si>
  <si>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</si>
  <si>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</si>
  <si>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</si>
  <si>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</si>
  <si>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</si>
  <si>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</si>
  <si>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</si>
  <si>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</si>
  <si>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</si>
  <si>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</si>
  <si>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</si>
  <si>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</si>
  <si>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</si>
  <si>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</si>
  <si>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</si>
  <si>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</si>
  <si>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</si>
  <si>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</si>
  <si>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</si>
  <si>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</si>
  <si>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</si>
  <si>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</si>
  <si>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</si>
  <si>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</si>
  <si>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</si>
  <si>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</si>
  <si>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</si>
  <si>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</si>
  <si>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</si>
  <si>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</si>
  <si>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</si>
  <si>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</si>
  <si>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</si>
  <si>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</si>
  <si>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</si>
  <si>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</si>
  <si>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</si>
  <si>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</si>
  <si>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</si>
  <si>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</si>
  <si>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</si>
  <si>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</si>
  <si>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</si>
  <si>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</si>
  <si>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</si>
  <si>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</si>
  <si>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</si>
  <si>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</si>
  <si>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</si>
  <si>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</si>
  <si>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</si>
  <si>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</si>
  <si>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</si>
  <si>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</si>
  <si>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</si>
  <si>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</si>
  <si>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</si>
  <si>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</si>
  <si>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</si>
  <si>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</si>
  <si>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</si>
  <si>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</si>
  <si>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</si>
  <si>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</si>
  <si>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</si>
  <si>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</si>
  <si>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</si>
  <si>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</si>
  <si>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</si>
  <si>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</si>
  <si>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</si>
  <si>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</si>
  <si>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</si>
  <si>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</si>
  <si>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</si>
  <si>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</si>
  <si>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</si>
  <si>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</si>
  <si>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</si>
  <si>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</si>
  <si>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</si>
  <si>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</si>
  <si>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</si>
  <si>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</si>
  <si>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</si>
  <si>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</si>
  <si>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</si>
  <si>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</si>
  <si>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</si>
  <si>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</si>
  <si>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</si>
  <si>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</si>
  <si>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</si>
  <si>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</si>
  <si>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</si>
  <si>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</si>
  <si>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</si>
  <si>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</si>
  <si>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</si>
  <si>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</si>
  <si>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</si>
  <si>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</si>
  <si>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</si>
  <si>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</si>
  <si>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</si>
  <si>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</si>
  <si>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</si>
  <si>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</si>
  <si>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</si>
  <si>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</si>
  <si>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</si>
  <si>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</si>
  <si>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</si>
  <si>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</si>
  <si>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</si>
  <si>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</si>
  <si>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</si>
  <si>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</si>
  <si>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</si>
  <si>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</si>
  <si>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</si>
  <si>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</si>
  <si>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</si>
  <si>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</si>
  <si>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</si>
  <si>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</si>
  <si>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</si>
  <si>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</si>
  <si>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</si>
  <si>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</si>
  <si>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</si>
  <si>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</si>
  <si>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</si>
  <si>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</si>
  <si>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</si>
  <si>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</si>
  <si>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</si>
  <si>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</si>
  <si>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</si>
  <si>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</si>
  <si>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</si>
  <si>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</si>
  <si>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</si>
  <si>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</si>
  <si>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</si>
  <si>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</si>
  <si>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</si>
  <si>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</si>
  <si>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</si>
  <si>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</si>
  <si>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</si>
  <si>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</si>
  <si>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</si>
  <si>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</si>
  <si>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</si>
  <si>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</si>
  <si>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</si>
  <si>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</si>
  <si>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</si>
  <si>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</si>
  <si>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</si>
  <si>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</si>
  <si>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</si>
  <si>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</si>
  <si>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</si>
  <si>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</si>
  <si>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</si>
  <si>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</si>
  <si>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</si>
  <si>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</si>
  <si>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</si>
  <si>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</si>
  <si>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</si>
  <si>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</si>
  <si>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</si>
  <si>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</si>
  <si>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</si>
  <si>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</si>
  <si>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</si>
  <si>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</si>
  <si>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</si>
  <si>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</si>
  <si>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</si>
  <si>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</si>
  <si>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</si>
  <si>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</si>
  <si>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</si>
  <si>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</si>
  <si>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</si>
  <si>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</si>
  <si>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</si>
  <si>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</si>
  <si>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</si>
  <si>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</si>
  <si>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</si>
  <si>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</si>
  <si>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</si>
  <si>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</si>
  <si>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</si>
  <si>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</si>
  <si>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</si>
  <si>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</si>
  <si>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</si>
  <si>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</si>
  <si>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</si>
  <si>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</si>
  <si>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</si>
  <si>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</si>
  <si>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</si>
  <si>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</si>
  <si>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</si>
  <si>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</si>
  <si>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</si>
  <si>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</si>
  <si>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</si>
  <si>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</si>
  <si>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</si>
  <si>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</si>
  <si>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</si>
  <si>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</si>
  <si>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</si>
  <si>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</si>
  <si>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</si>
  <si>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</si>
  <si>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</si>
  <si>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</si>
  <si>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</si>
  <si>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</si>
  <si>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</si>
  <si>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</si>
  <si>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</si>
  <si>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</si>
  <si>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</si>
  <si>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</si>
  <si>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</si>
  <si>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</si>
  <si>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</si>
  <si>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</si>
  <si>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</si>
  <si>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</si>
  <si>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</si>
  <si>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</si>
  <si>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</si>
  <si>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</si>
  <si>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</si>
  <si>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</si>
  <si>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</si>
  <si>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</si>
  <si>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</si>
  <si>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</si>
  <si>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</si>
  <si>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</si>
  <si>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</si>
  <si>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</si>
  <si>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</si>
  <si>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</si>
  <si>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</si>
  <si>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</si>
  <si>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</si>
  <si>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</si>
  <si>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</si>
  <si>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</si>
  <si>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</si>
  <si>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</si>
  <si>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</si>
  <si>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</si>
  <si>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</si>
  <si>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</si>
  <si>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</si>
  <si>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</si>
  <si>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</si>
  <si>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</si>
  <si>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</si>
  <si>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</si>
  <si>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</si>
  <si>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</si>
  <si>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</si>
  <si>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</si>
  <si>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</si>
  <si>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</si>
  <si>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</si>
  <si>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</si>
  <si>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</si>
  <si>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</si>
  <si>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</si>
  <si>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</si>
  <si>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</si>
  <si>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</si>
  <si>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</si>
  <si>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</si>
  <si>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</si>
  <si>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</si>
  <si>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</si>
  <si>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</si>
  <si>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</si>
  <si>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</si>
  <si>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</si>
  <si>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</si>
  <si>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</si>
  <si>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</si>
  <si>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</si>
  <si>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</si>
  <si>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</si>
  <si>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</si>
  <si>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</si>
  <si>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</si>
  <si>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</si>
  <si>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</si>
  <si>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</si>
  <si>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</si>
  <si>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</si>
  <si>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</si>
  <si>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</si>
  <si>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</si>
  <si>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</si>
  <si>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</si>
  <si>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</si>
  <si>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</si>
  <si>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</si>
  <si>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</si>
  <si>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</si>
  <si>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</si>
  <si>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</si>
  <si>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</si>
  <si>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</si>
  <si>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</si>
  <si>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</si>
  <si>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</si>
  <si>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</si>
  <si>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</si>
  <si>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</si>
  <si>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</si>
  <si>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</si>
  <si>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</si>
  <si>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</si>
  <si>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</si>
  <si>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</si>
  <si>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</si>
  <si>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</si>
  <si>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</si>
  <si>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</si>
  <si>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</si>
  <si>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</si>
  <si>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</si>
  <si>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</si>
  <si>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</si>
  <si>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</si>
  <si>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</si>
  <si>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</si>
  <si>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</si>
  <si>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</si>
  <si>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</si>
  <si>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</si>
  <si>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</si>
  <si>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</si>
  <si>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</si>
  <si>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</si>
  <si>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</si>
  <si>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</si>
  <si>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</si>
  <si>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</si>
  <si>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</si>
  <si>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</si>
  <si>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</si>
  <si>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</si>
  <si>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</si>
  <si>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</si>
  <si>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</si>
  <si>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</si>
  <si>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</si>
  <si>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</si>
  <si>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</si>
  <si>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</si>
  <si>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</si>
  <si>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</si>
  <si>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</si>
  <si>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</si>
  <si>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</si>
  <si>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</si>
  <si>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</si>
  <si>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</si>
  <si>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</si>
  <si>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</si>
  <si>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</si>
  <si>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</si>
  <si>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</si>
  <si>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</si>
  <si>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</si>
  <si>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</si>
  <si>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</si>
  <si>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</si>
  <si>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</si>
  <si>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</si>
  <si>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</si>
  <si>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</si>
  <si>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</si>
  <si>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</si>
  <si>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</si>
  <si>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</si>
  <si>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</si>
  <si>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</si>
  <si>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</si>
  <si>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</si>
  <si>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</si>
  <si>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</si>
  <si>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</si>
  <si>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</si>
  <si>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</si>
  <si>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</si>
  <si>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</si>
  <si>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</si>
  <si>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</si>
  <si>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</si>
  <si>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</si>
  <si>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</si>
  <si>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</si>
  <si>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</si>
  <si>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</si>
  <si>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</si>
  <si>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</si>
  <si>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</si>
  <si>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</si>
  <si>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</si>
  <si>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</si>
  <si>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</si>
  <si>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</si>
  <si>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</si>
  <si>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</si>
  <si>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</si>
  <si>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</si>
  <si>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</si>
  <si>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</si>
  <si>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</si>
  <si>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</si>
  <si>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</si>
  <si>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</si>
  <si>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</si>
  <si>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</si>
  <si>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</si>
  <si>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</si>
  <si>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</si>
  <si>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</si>
  <si>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</si>
  <si>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</si>
  <si>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</si>
  <si>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</si>
  <si>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</si>
  <si>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</si>
  <si>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</si>
  <si>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</si>
  <si>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</si>
  <si>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</si>
  <si>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</si>
  <si>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</si>
  <si>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</si>
  <si>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</si>
  <si>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</si>
  <si>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</si>
  <si>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</si>
  <si>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</si>
  <si>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</si>
  <si>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</si>
  <si>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</si>
  <si>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</si>
  <si>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</si>
  <si>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</si>
  <si>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</si>
  <si>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</si>
  <si>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</si>
  <si>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</si>
  <si>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</si>
  <si>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</si>
  <si>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</si>
  <si>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</si>
  <si>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</si>
  <si>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</si>
  <si>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</si>
  <si>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</si>
  <si>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</si>
  <si>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</si>
  <si>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</si>
  <si>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</si>
  <si>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</si>
  <si>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</si>
  <si>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</si>
  <si>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</si>
  <si>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</si>
  <si>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</si>
  <si>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</si>
  <si>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</si>
  <si>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</si>
  <si>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</si>
  <si>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</si>
  <si>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</si>
  <si>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</si>
  <si>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</si>
  <si>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</si>
  <si>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</si>
  <si>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</si>
  <si>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</si>
  <si>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</si>
  <si>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</si>
  <si>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</si>
  <si>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</si>
  <si>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</si>
  <si>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</si>
  <si>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</si>
  <si>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</si>
  <si>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</si>
  <si>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</si>
  <si>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</si>
  <si>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</si>
  <si>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</si>
  <si>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</si>
  <si>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</si>
  <si>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</si>
  <si>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</si>
  <si>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</si>
  <si>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</si>
  <si>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</si>
  <si>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</si>
  <si>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</si>
  <si>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</si>
  <si>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</si>
  <si>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</si>
  <si>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</si>
  <si>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</si>
  <si>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</si>
  <si>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</si>
  <si>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</si>
  <si>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</si>
  <si>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</si>
  <si>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</si>
  <si>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</si>
  <si>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</si>
  <si>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</si>
  <si>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</si>
  <si>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</si>
  <si>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</si>
  <si>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</si>
  <si>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</si>
  <si>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</si>
  <si>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</si>
  <si>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</si>
  <si>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</si>
  <si>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</si>
  <si>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</si>
  <si>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</si>
  <si>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</si>
  <si>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</si>
  <si>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</si>
  <si>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</si>
  <si>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</si>
  <si>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</si>
  <si>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</si>
  <si>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</si>
  <si>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</si>
  <si>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</si>
  <si>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</si>
  <si>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</si>
  <si>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</si>
  <si>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</si>
  <si>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</si>
  <si>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</si>
  <si>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</si>
  <si>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</si>
  <si>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</si>
  <si>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</si>
  <si>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</si>
  <si>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</si>
  <si>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</si>
  <si>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</si>
  <si>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</si>
  <si>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</si>
  <si>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</si>
  <si>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</si>
  <si>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</si>
  <si>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</si>
  <si>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</si>
  <si>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</si>
  <si>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</si>
  <si>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</si>
  <si>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</si>
  <si>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</si>
  <si>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</si>
  <si>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</si>
  <si>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</si>
  <si>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</si>
  <si>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</si>
  <si>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</si>
  <si>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</si>
  <si>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</si>
  <si>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</si>
  <si>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</si>
  <si>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</si>
  <si>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</si>
  <si>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</si>
  <si>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</si>
  <si>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</si>
  <si>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</si>
  <si>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</si>
  <si>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</si>
  <si>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</si>
  <si>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</si>
  <si>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</si>
  <si>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</si>
  <si>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</si>
  <si>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</si>
  <si>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</si>
  <si>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</si>
  <si>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</si>
  <si>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</si>
  <si>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</si>
  <si>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</si>
  <si>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</si>
  <si>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</si>
  <si>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</si>
  <si>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</si>
  <si>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</si>
  <si>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</si>
  <si>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</si>
  <si>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</si>
  <si>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</si>
  <si>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</si>
  <si>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</si>
  <si>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</si>
  <si>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</si>
  <si>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</si>
  <si>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</si>
  <si>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</si>
  <si>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</si>
  <si>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</si>
  <si>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</si>
  <si>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</si>
  <si>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</si>
  <si>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</si>
  <si>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</si>
  <si>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</si>
  <si>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</si>
  <si>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</si>
  <si>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</si>
  <si>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</si>
  <si>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</si>
  <si>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</si>
  <si>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</si>
  <si>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</si>
  <si>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</si>
  <si>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</si>
  <si>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</si>
  <si>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</si>
  <si>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</si>
  <si>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</si>
  <si>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</si>
  <si>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</si>
  <si>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</si>
  <si>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</si>
  <si>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</si>
  <si>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</si>
  <si>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</si>
  <si>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</si>
  <si>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</si>
  <si>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</si>
  <si>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</si>
  <si>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</si>
  <si>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</si>
  <si>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</si>
  <si>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</si>
  <si>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</si>
  <si>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</si>
  <si>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</si>
  <si>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</si>
  <si>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</si>
  <si>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</si>
  <si>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</si>
  <si>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</si>
  <si>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</si>
  <si>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</si>
  <si>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</si>
  <si>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</si>
  <si>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</si>
  <si>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</si>
  <si>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</si>
  <si>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</si>
  <si>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</si>
  <si>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</si>
  <si>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</si>
  <si>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</si>
  <si>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</si>
  <si>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</si>
  <si>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</si>
  <si>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</si>
  <si>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</si>
  <si>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</si>
  <si>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</si>
  <si>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</si>
  <si>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</si>
  <si>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</si>
  <si>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</si>
  <si>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</si>
  <si>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</si>
  <si>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</si>
  <si>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</si>
  <si>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</si>
  <si>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</si>
  <si>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</si>
  <si>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</si>
  <si>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</si>
  <si>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</si>
  <si>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</si>
  <si>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</si>
  <si>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</si>
  <si>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</si>
  <si>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</si>
  <si>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</si>
  <si>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</si>
  <si>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</si>
  <si>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</si>
  <si>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</si>
  <si>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</si>
  <si>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</si>
  <si>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</si>
  <si>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</si>
  <si>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</si>
  <si>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</si>
  <si>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</si>
  <si>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</si>
  <si>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</si>
  <si>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</si>
  <si>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</si>
  <si>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</si>
  <si>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</si>
  <si>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</si>
  <si>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</si>
  <si>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</si>
  <si>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</si>
  <si>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</si>
  <si>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</si>
  <si>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</si>
  <si>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</si>
  <si>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</si>
  <si>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</si>
  <si>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</si>
  <si>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</si>
  <si>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</si>
  <si>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</si>
  <si>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</si>
  <si>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</si>
  <si>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</si>
  <si>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</si>
  <si>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</si>
  <si>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</si>
  <si>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</si>
  <si>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</si>
  <si>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</si>
  <si>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</si>
  <si>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</si>
  <si>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</si>
  <si>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</si>
  <si>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</si>
  <si>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</si>
  <si>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</si>
  <si>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</si>
  <si>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</si>
  <si>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</si>
  <si>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</si>
  <si>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</si>
  <si>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</si>
  <si>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</si>
  <si>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</si>
  <si>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</si>
  <si>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</si>
  <si>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</si>
  <si>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</si>
  <si>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</si>
  <si>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</si>
  <si>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</si>
  <si>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</si>
  <si>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</si>
  <si>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</si>
  <si>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</si>
  <si>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</si>
  <si>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</si>
  <si>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</si>
  <si>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</si>
  <si>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</si>
  <si>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</si>
  <si>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</si>
  <si>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</si>
  <si>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</si>
  <si>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</si>
  <si>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</si>
  <si>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</si>
  <si>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</si>
  <si>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</si>
  <si>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</si>
  <si>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</si>
  <si>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</si>
  <si>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</si>
  <si>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</si>
  <si>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</si>
  <si>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</si>
  <si>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</si>
  <si>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</si>
  <si>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</si>
  <si>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</si>
  <si>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</si>
  <si>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</si>
  <si>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</si>
  <si>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</si>
  <si>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</si>
  <si>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</si>
  <si>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</si>
  <si>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</si>
  <si>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</si>
  <si>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</si>
  <si>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</si>
  <si>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</si>
  <si>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</si>
  <si>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</si>
  <si>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</si>
  <si>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</si>
  <si>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</si>
  <si>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</si>
  <si>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</si>
  <si>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</si>
  <si>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</si>
  <si>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</si>
  <si>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</si>
  <si>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</si>
  <si>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</si>
  <si>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</si>
  <si>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</si>
  <si>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</si>
  <si>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</si>
  <si>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</si>
  <si>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</si>
  <si>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</si>
  <si>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</si>
  <si>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</si>
  <si>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</si>
  <si>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</si>
  <si>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</si>
  <si>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</si>
  <si>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</si>
  <si>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</si>
  <si>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</si>
  <si>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</si>
  <si>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</si>
  <si>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</si>
  <si>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</si>
  <si>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</si>
  <si>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</si>
  <si>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</si>
  <si>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</si>
  <si>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</si>
  <si>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</si>
  <si>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</si>
  <si>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</si>
  <si>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</si>
  <si>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</si>
  <si>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</si>
  <si>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</si>
  <si>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</si>
  <si>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</si>
  <si>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</si>
  <si>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</si>
  <si>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</si>
  <si>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</si>
  <si>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</si>
  <si>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</si>
  <si>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</si>
  <si>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</si>
  <si>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</si>
  <si>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</si>
  <si>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</si>
  <si>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</si>
  <si>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</si>
  <si>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</si>
  <si>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</si>
  <si>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</si>
  <si>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</si>
  <si>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</si>
  <si>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</si>
  <si>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</si>
  <si>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</si>
  <si>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</si>
  <si>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</si>
  <si>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</si>
  <si>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</si>
  <si>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</si>
  <si>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</si>
  <si>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</si>
  <si>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</si>
  <si>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</si>
  <si>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</si>
  <si>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</si>
  <si>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</si>
  <si>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</si>
  <si>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</si>
  <si>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</si>
  <si>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</si>
  <si>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</si>
  <si>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</si>
  <si>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</si>
  <si>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</si>
  <si>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</si>
  <si>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</si>
  <si>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</si>
  <si>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</si>
  <si>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</si>
  <si>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</si>
  <si>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</si>
  <si>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</si>
  <si>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</si>
  <si>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</si>
  <si>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</si>
  <si>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</si>
  <si>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</si>
  <si>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</si>
  <si>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</si>
  <si>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</si>
  <si>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</si>
  <si>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</si>
  <si>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</si>
  <si>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</si>
  <si>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</si>
  <si>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</si>
  <si>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</si>
  <si>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</si>
  <si>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</si>
  <si>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</si>
  <si>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</si>
  <si>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</si>
  <si>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</si>
  <si>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</si>
  <si>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</si>
  <si>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</si>
  <si>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</si>
  <si>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</si>
  <si>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</si>
  <si>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</si>
  <si>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</si>
  <si>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</si>
  <si>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</si>
  <si>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</si>
  <si>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</si>
  <si>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</si>
  <si>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</si>
  <si>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</si>
  <si>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</si>
  <si>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</si>
  <si>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</si>
  <si>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</si>
  <si>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</si>
  <si>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</si>
  <si>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</si>
  <si>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</si>
  <si>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</si>
  <si>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</si>
  <si>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</si>
  <si>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</si>
  <si>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</si>
  <si>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</si>
  <si>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</si>
  <si>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</si>
  <si>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</si>
  <si>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</si>
  <si>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</si>
  <si>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</si>
  <si>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</si>
  <si>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</si>
  <si>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</si>
  <si>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</si>
  <si>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</si>
  <si>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</si>
  <si>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</si>
  <si>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</si>
  <si>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</si>
  <si>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</si>
  <si>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</si>
  <si>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</si>
  <si>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</si>
  <si>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</si>
  <si>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</si>
  <si>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</si>
  <si>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</si>
  <si>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</si>
  <si>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</si>
  <si>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</si>
  <si>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</si>
  <si>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</si>
  <si>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</si>
  <si>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</si>
  <si>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</si>
  <si>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</si>
  <si>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</si>
  <si>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</si>
  <si>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</si>
  <si>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</si>
  <si>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</si>
  <si>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</si>
  <si>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</si>
  <si>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</si>
  <si>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</si>
  <si>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</si>
  <si>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</si>
  <si>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</si>
  <si>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</si>
  <si>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</si>
  <si>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</si>
  <si>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</si>
  <si>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</si>
  <si>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</si>
  <si>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</si>
  <si>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</si>
  <si>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</si>
  <si>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</si>
  <si>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</si>
  <si>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</si>
  <si>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</si>
  <si>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</si>
  <si>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</si>
  <si>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</si>
  <si>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</si>
  <si>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</si>
  <si>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</si>
  <si>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</si>
  <si>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</si>
  <si>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</si>
  <si>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</si>
  <si>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</si>
  <si>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</si>
  <si>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</si>
  <si>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</si>
  <si>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</si>
  <si>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</si>
  <si>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</si>
  <si>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</si>
  <si>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</si>
  <si>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</si>
  <si>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</si>
  <si>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</si>
  <si>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</si>
  <si>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</si>
  <si>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</si>
  <si>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</si>
  <si>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</si>
  <si>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</si>
  <si>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</si>
  <si>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</si>
  <si>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</si>
  <si>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</si>
  <si>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</si>
  <si>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</si>
  <si>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</si>
  <si>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</si>
  <si>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</si>
  <si>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</si>
  <si>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</si>
  <si>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</si>
  <si>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</si>
  <si>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</si>
  <si>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</si>
  <si>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</si>
  <si>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</si>
  <si>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</si>
  <si>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</si>
  <si>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</si>
  <si>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</si>
  <si>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</si>
  <si>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</si>
  <si>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</si>
  <si>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</si>
  <si>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</si>
  <si>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</si>
  <si>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</si>
  <si>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</si>
  <si>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</si>
  <si>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</si>
  <si>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</si>
  <si>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</si>
  <si>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</si>
  <si>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</si>
  <si>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</si>
  <si>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</si>
  <si>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</si>
  <si>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</si>
  <si>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</si>
  <si>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</si>
  <si>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</si>
  <si>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</si>
  <si>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</si>
  <si>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</si>
  <si>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</si>
  <si>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</si>
  <si>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</si>
  <si>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</si>
  <si>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</si>
  <si>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</si>
  <si>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</si>
  <si>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</si>
  <si>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</si>
  <si>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</si>
  <si>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</si>
  <si>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</si>
  <si>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</si>
  <si>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</si>
  <si>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</si>
  <si>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</si>
  <si>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</si>
  <si>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</si>
  <si>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</si>
  <si>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</si>
  <si>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</si>
  <si>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</si>
  <si>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</si>
  <si>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</si>
  <si>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</si>
  <si>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</si>
  <si>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</si>
  <si>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</si>
  <si>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</si>
  <si>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</si>
  <si>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</si>
  <si>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</si>
  <si>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</si>
  <si>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</si>
  <si>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</si>
  <si>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</si>
  <si>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</si>
  <si>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</si>
  <si>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</si>
  <si>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</si>
  <si>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</si>
  <si>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</si>
  <si>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</si>
  <si>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</si>
  <si>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</si>
  <si>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</si>
  <si>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</si>
  <si>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</si>
  <si>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</si>
  <si>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</si>
  <si>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</si>
  <si>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</si>
  <si>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</si>
  <si>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</si>
  <si>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</si>
  <si>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</si>
  <si>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</si>
  <si>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</si>
  <si>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</si>
  <si>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</si>
  <si>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</si>
  <si>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</si>
  <si>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</si>
  <si>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</si>
  <si>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</si>
  <si>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</si>
  <si>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</si>
  <si>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</si>
  <si>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</si>
  <si>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</si>
  <si>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</si>
  <si>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</si>
  <si>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</si>
  <si>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</si>
  <si>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</si>
  <si>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</si>
  <si>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</si>
  <si>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</si>
  <si>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</si>
  <si>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</si>
  <si>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</si>
  <si>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</si>
  <si>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</si>
  <si>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</si>
  <si>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</si>
  <si>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</si>
  <si>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</si>
  <si>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</si>
  <si>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</si>
  <si>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</si>
  <si>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</si>
  <si>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</si>
  <si>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</si>
  <si>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</si>
  <si>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</si>
  <si>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</si>
  <si>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</si>
  <si>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</si>
  <si>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</si>
  <si>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</si>
  <si>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</si>
  <si>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</si>
  <si>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</si>
  <si>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</si>
  <si>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</si>
  <si>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</si>
  <si>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</si>
  <si>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</si>
  <si>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</si>
  <si>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</si>
  <si>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</si>
  <si>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</si>
  <si>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</si>
  <si>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</si>
  <si>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</si>
  <si>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</si>
  <si>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</si>
  <si>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</si>
  <si>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</si>
  <si>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</si>
  <si>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</si>
  <si>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</si>
  <si>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</si>
  <si>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</si>
  <si>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</si>
  <si>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</si>
  <si>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</si>
  <si>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</si>
  <si>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</si>
  <si>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</si>
  <si>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</si>
  <si>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</si>
  <si>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</si>
  <si>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</si>
  <si>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</si>
  <si>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</si>
  <si>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</si>
  <si>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</si>
  <si>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</si>
  <si>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</si>
  <si>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</si>
  <si>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</si>
  <si>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</si>
  <si>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</si>
  <si>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</si>
  <si>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</si>
  <si>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</si>
  <si>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</si>
  <si>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</si>
  <si>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</si>
  <si>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</si>
  <si>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</si>
  <si>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</si>
  <si>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</si>
  <si>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</si>
  <si>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</si>
  <si>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</si>
  <si>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</si>
  <si>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</si>
  <si>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</si>
  <si>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</si>
  <si>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</si>
  <si>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</si>
  <si>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</si>
  <si>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</si>
  <si>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</si>
  <si>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</si>
  <si>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</si>
  <si>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</si>
  <si>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</si>
  <si>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</si>
  <si>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</si>
  <si>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</si>
  <si>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</si>
  <si>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</si>
  <si>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</si>
  <si>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</si>
  <si>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</si>
  <si>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</si>
  <si>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</si>
  <si>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</si>
  <si>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</si>
  <si>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</si>
  <si>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</si>
  <si>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</si>
  <si>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</si>
  <si>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</si>
  <si>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</si>
  <si>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</si>
  <si>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</si>
  <si>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</si>
  <si>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</si>
  <si>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</si>
  <si>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</si>
  <si>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</si>
  <si>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</si>
  <si>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</si>
  <si>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</si>
  <si>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</si>
  <si>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</si>
  <si>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</si>
  <si>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</si>
  <si>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</si>
  <si>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</si>
  <si>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</si>
  <si>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</si>
  <si>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</si>
  <si>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</si>
  <si>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</si>
  <si>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</si>
  <si>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</si>
  <si>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</si>
  <si>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</si>
  <si>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</si>
  <si>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</si>
  <si>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</si>
  <si>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</si>
  <si>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</si>
  <si>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</si>
  <si>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</si>
  <si>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</si>
  <si>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</si>
  <si>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</si>
  <si>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</si>
  <si>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</si>
  <si>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</si>
  <si>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</si>
  <si>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</si>
  <si>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</si>
  <si>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</si>
  <si>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</si>
  <si>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</si>
  <si>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</si>
  <si>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</si>
  <si>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</si>
  <si>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</si>
  <si>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</si>
  <si>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</si>
  <si>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</si>
  <si>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</si>
  <si>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</si>
  <si>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</si>
  <si>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</si>
  <si>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</si>
  <si>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</si>
  <si>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</si>
  <si>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</si>
  <si>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</si>
  <si>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</si>
  <si>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</si>
  <si>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</si>
  <si>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</si>
  <si>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</si>
  <si>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</si>
  <si>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</si>
  <si>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</si>
  <si>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</si>
  <si>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</si>
  <si>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</si>
  <si>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</si>
  <si>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</si>
  <si>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</si>
  <si>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</si>
  <si>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</si>
  <si>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</si>
  <si>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</si>
  <si>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</si>
  <si>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</si>
  <si>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</si>
  <si>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</si>
  <si>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</si>
  <si>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</si>
  <si>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</si>
  <si>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</si>
  <si>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</si>
  <si>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</si>
  <si>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</si>
  <si>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</si>
  <si>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</si>
  <si>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</si>
  <si>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</si>
  <si>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</si>
  <si>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</si>
  <si>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</si>
  <si>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</si>
  <si>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</si>
  <si>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</si>
  <si>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</si>
  <si>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</si>
  <si>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</si>
  <si>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</si>
  <si>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</si>
  <si>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</si>
  <si>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</si>
  <si>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</si>
  <si>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</si>
  <si>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</si>
  <si>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</si>
  <si>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</si>
  <si>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</si>
  <si>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</si>
  <si>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</si>
  <si>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</si>
  <si>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</si>
  <si>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</si>
  <si>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</si>
  <si>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</si>
  <si>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</si>
  <si>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</si>
  <si>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</si>
  <si>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</si>
  <si>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</si>
  <si>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</si>
  <si>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</si>
  <si>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</si>
  <si>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</si>
  <si>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</si>
  <si>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</si>
  <si>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</si>
  <si>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</si>
  <si>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</si>
  <si>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</si>
  <si>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</si>
  <si>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</si>
  <si>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</si>
  <si>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</si>
  <si>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</si>
  <si>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</si>
  <si>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</si>
  <si>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</si>
  <si>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</si>
  <si>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</si>
  <si>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</si>
  <si>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</si>
  <si>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</si>
  <si>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</si>
  <si>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</si>
  <si>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</si>
  <si>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</si>
  <si>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</si>
  <si>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</si>
  <si>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</si>
  <si>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</si>
  <si>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</si>
  <si>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</si>
  <si>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</si>
  <si>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</si>
  <si>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</si>
  <si>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</si>
  <si>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</si>
  <si>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</si>
  <si>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</si>
  <si>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</si>
  <si>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</si>
  <si>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</si>
  <si>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</si>
  <si>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</si>
  <si>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</si>
  <si>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</si>
  <si>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</si>
  <si>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</si>
  <si>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</si>
  <si>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</si>
  <si>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</si>
  <si>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</si>
  <si>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</si>
  <si>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</si>
  <si>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</si>
  <si>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</si>
  <si>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</si>
  <si>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</si>
  <si>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</si>
  <si>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</si>
  <si>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</si>
  <si>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</si>
  <si>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</si>
  <si>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</si>
  <si>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</si>
  <si>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</si>
  <si>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</si>
  <si>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</si>
  <si>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</si>
  <si>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</si>
  <si>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</si>
  <si>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</si>
  <si>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</si>
  <si>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</si>
  <si>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</si>
  <si>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</si>
  <si>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</si>
  <si>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</si>
  <si>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</si>
  <si>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</si>
  <si>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</si>
  <si>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</si>
  <si>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</si>
  <si>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</si>
  <si>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</si>
  <si>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</si>
  <si>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</si>
  <si>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</si>
  <si>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</si>
  <si>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</si>
  <si>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</si>
  <si>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</si>
  <si>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</si>
  <si>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</si>
  <si>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</si>
  <si>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</si>
  <si>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</si>
  <si>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</si>
  <si>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</si>
  <si>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</si>
  <si>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</si>
  <si>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</si>
  <si>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</si>
  <si>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</si>
  <si>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</si>
  <si>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</si>
  <si>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</si>
  <si>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</si>
  <si>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</si>
  <si>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</si>
  <si>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</si>
  <si>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</si>
  <si>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</si>
  <si>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</si>
  <si>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</si>
  <si>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</si>
  <si>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</si>
  <si>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</si>
  <si>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</si>
  <si>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</si>
  <si>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</si>
  <si>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</si>
  <si>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</si>
  <si>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</si>
  <si>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</si>
  <si>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</si>
  <si>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</si>
  <si>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</si>
  <si>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</si>
  <si>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</si>
  <si>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</si>
  <si>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</si>
  <si>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</si>
  <si>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</si>
  <si>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</si>
  <si>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</si>
  <si>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</si>
  <si>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</si>
  <si>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</si>
  <si>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</si>
  <si>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</si>
  <si>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</si>
  <si>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</si>
  <si>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</si>
  <si>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</si>
  <si>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</si>
  <si>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</si>
  <si>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</si>
  <si>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</si>
  <si>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</si>
  <si>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</si>
  <si>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</si>
  <si>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</si>
  <si>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</si>
  <si>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</si>
  <si>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</si>
  <si>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</si>
  <si>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</si>
  <si>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</si>
  <si>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</si>
  <si>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</si>
  <si>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</si>
  <si>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</si>
  <si>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</si>
  <si>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</si>
  <si>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</si>
  <si>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</si>
  <si>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</si>
  <si>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</si>
  <si>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</si>
  <si>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</si>
  <si>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</si>
  <si>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</si>
  <si>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</si>
  <si>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</si>
  <si>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</si>
  <si>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</si>
  <si>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</si>
  <si>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</si>
  <si>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</si>
  <si>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</si>
  <si>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</si>
  <si>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</si>
  <si>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</si>
  <si>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</si>
  <si>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</si>
  <si>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</si>
  <si>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</si>
  <si>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</si>
  <si>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</si>
  <si>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</si>
  <si>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</si>
  <si>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</si>
  <si>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</si>
  <si>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</si>
  <si>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</si>
  <si>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</si>
  <si>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</si>
  <si>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</si>
  <si>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</si>
  <si>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</si>
  <si>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</si>
  <si>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</si>
  <si>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</si>
  <si>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</si>
  <si>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</si>
  <si>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</si>
  <si>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</si>
  <si>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</si>
  <si>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</si>
  <si>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</si>
  <si>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</si>
  <si>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</si>
  <si>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</si>
  <si>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</si>
  <si>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</si>
  <si>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</si>
  <si>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</si>
  <si>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</si>
  <si>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</si>
  <si>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</si>
  <si>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</si>
  <si>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</si>
  <si>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</si>
  <si>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</si>
  <si>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</si>
  <si>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</si>
  <si>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</si>
  <si>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</si>
  <si>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</si>
  <si>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</si>
  <si>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</si>
  <si>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</si>
  <si>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</si>
  <si>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</si>
  <si>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</si>
  <si>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</si>
  <si>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</si>
  <si>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</si>
  <si>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</si>
  <si>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</si>
  <si>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</si>
  <si>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</si>
  <si>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</si>
  <si>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</si>
  <si>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</si>
  <si>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</si>
  <si>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</si>
  <si>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</si>
  <si>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</si>
  <si>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</si>
  <si>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</si>
  <si>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</si>
  <si>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</si>
  <si>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</si>
  <si>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</si>
  <si>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</si>
  <si>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</si>
  <si>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</si>
  <si>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</si>
  <si>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</si>
  <si>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</si>
  <si>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</si>
  <si>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</si>
  <si>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</si>
  <si>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</si>
  <si>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</si>
  <si>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</si>
  <si>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</si>
  <si>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</si>
  <si>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</si>
  <si>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</si>
  <si>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</si>
  <si>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</si>
  <si>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</si>
  <si>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</si>
  <si>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</si>
  <si>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</si>
  <si>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</si>
  <si>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</si>
  <si>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</si>
  <si>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</si>
  <si>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</si>
  <si>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</si>
  <si>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</si>
  <si>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</si>
  <si>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</si>
  <si>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</si>
  <si>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</si>
  <si>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</si>
  <si>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</si>
  <si>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</si>
  <si>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</si>
  <si>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</si>
  <si>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</si>
  <si>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</si>
  <si>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</si>
  <si>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</si>
  <si>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</si>
  <si>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</si>
  <si>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</si>
  <si>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</si>
  <si>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</si>
  <si>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</si>
  <si>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</si>
  <si>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</si>
  <si>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</si>
  <si>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</si>
  <si>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</si>
  <si>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</si>
  <si>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</si>
  <si>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</si>
  <si>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</si>
  <si>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</si>
  <si>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</si>
  <si>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</si>
  <si>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</si>
  <si>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</si>
  <si>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</si>
  <si>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</si>
  <si>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</si>
  <si>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</si>
  <si>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</si>
  <si>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</si>
  <si>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</si>
  <si>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</si>
  <si>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</si>
  <si>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</si>
  <si>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</si>
  <si>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</si>
  <si>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</si>
  <si>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</si>
  <si>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</si>
  <si>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</si>
  <si>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</si>
  <si>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</si>
  <si>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</si>
  <si>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</si>
  <si>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</si>
  <si>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</si>
  <si>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</si>
  <si>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</si>
  <si>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</si>
  <si>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</si>
  <si>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</si>
  <si>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</si>
  <si>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</si>
  <si>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</si>
  <si>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</si>
  <si>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</si>
  <si>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</si>
  <si>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</si>
  <si>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</si>
  <si>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</si>
  <si>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</si>
  <si>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</si>
  <si>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</si>
  <si>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</si>
  <si>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</si>
  <si>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</si>
  <si>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</si>
  <si>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</si>
  <si>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</si>
  <si>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</si>
  <si>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</si>
  <si>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</si>
  <si>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</si>
  <si>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</si>
  <si>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</si>
  <si>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</si>
  <si>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</si>
  <si>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</si>
  <si>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</si>
  <si>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</si>
  <si>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</si>
  <si>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</si>
  <si>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</si>
  <si>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</si>
  <si>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</si>
  <si>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</si>
  <si>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</si>
  <si>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</si>
  <si>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</si>
  <si>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</si>
  <si>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</si>
  <si>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</si>
  <si>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</si>
  <si>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</si>
  <si>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</si>
  <si>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</si>
  <si>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</si>
  <si>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</si>
  <si>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</si>
  <si>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</si>
  <si>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</si>
  <si>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</si>
  <si>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</si>
  <si>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</si>
  <si>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</si>
  <si>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</si>
  <si>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</si>
  <si>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</si>
  <si>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</si>
  <si>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</si>
  <si>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</si>
  <si>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</si>
  <si>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</si>
  <si>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</si>
  <si>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</si>
  <si>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</si>
  <si>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</si>
  <si>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</si>
  <si>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</si>
  <si>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</si>
  <si>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</si>
  <si>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</si>
  <si>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</si>
  <si>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</si>
  <si>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</si>
  <si>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</si>
  <si>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</si>
  <si>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</si>
  <si>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</si>
  <si>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</si>
  <si>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</si>
  <si>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</si>
  <si>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</si>
  <si>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</si>
  <si>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</si>
  <si>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</si>
  <si>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</si>
  <si>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</si>
  <si>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</si>
  <si>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</si>
  <si>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</si>
  <si>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</si>
  <si>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</si>
  <si>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</si>
  <si>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</si>
  <si>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</si>
  <si>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</si>
  <si>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</si>
  <si>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</si>
  <si>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</si>
  <si>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</si>
  <si>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</si>
  <si>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</si>
  <si>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</si>
  <si>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</si>
  <si>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</si>
  <si>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</si>
  <si>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</si>
  <si>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</si>
  <si>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</si>
  <si>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</si>
  <si>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</si>
  <si>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</si>
  <si>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</si>
  <si>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</si>
  <si>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</si>
  <si>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</si>
  <si>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</si>
  <si>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</si>
  <si>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</si>
  <si>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</si>
  <si>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</si>
  <si>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</si>
  <si>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</si>
  <si>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</si>
  <si>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</si>
  <si>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</si>
  <si>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</si>
  <si>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</si>
  <si>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</si>
  <si>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</si>
  <si>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</si>
  <si>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</si>
  <si>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</si>
  <si>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</si>
  <si>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</si>
  <si>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</si>
  <si>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</si>
  <si>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</si>
  <si>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</si>
  <si>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</si>
  <si>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</si>
  <si>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</si>
  <si>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</si>
  <si>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</si>
  <si>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</si>
  <si>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</si>
  <si>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</si>
  <si>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</si>
  <si>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</si>
  <si>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</si>
  <si>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</si>
  <si>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</si>
  <si>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</si>
  <si>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</si>
  <si>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</si>
  <si>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</si>
  <si>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</si>
  <si>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</si>
  <si>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</si>
  <si>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</si>
  <si>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</si>
  <si>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</si>
  <si>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</si>
  <si>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</si>
  <si>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</si>
  <si>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</si>
  <si>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</si>
  <si>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</si>
  <si>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</si>
  <si>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</si>
  <si>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</si>
  <si>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</si>
  <si>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</si>
  <si>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</si>
  <si>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</si>
  <si>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</si>
  <si>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</si>
  <si>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</si>
  <si>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</si>
  <si>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</si>
  <si>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</si>
  <si>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</si>
  <si>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</si>
  <si>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</si>
  <si>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</si>
  <si>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</si>
  <si>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</si>
  <si>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</si>
  <si>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</si>
  <si>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</si>
  <si>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</si>
  <si>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</si>
  <si>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</si>
  <si>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</si>
  <si>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</si>
  <si>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</si>
  <si>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</si>
  <si>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</si>
  <si>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</si>
  <si>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</si>
  <si>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</si>
  <si>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</si>
  <si>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</si>
  <si>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</si>
  <si>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</si>
  <si>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</si>
  <si>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</si>
  <si>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</si>
  <si>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</si>
  <si>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</si>
  <si>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</si>
  <si>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</si>
  <si>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</si>
  <si>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</si>
  <si>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</si>
  <si>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</si>
  <si>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</si>
  <si>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</si>
  <si>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</si>
  <si>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</si>
  <si>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</si>
  <si>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</si>
  <si>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</si>
  <si>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</si>
  <si>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</si>
  <si>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</si>
  <si>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</si>
  <si>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</si>
  <si>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</si>
  <si>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</si>
  <si>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</si>
  <si>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</si>
  <si>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</si>
  <si>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</si>
  <si>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</si>
  <si>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</si>
  <si>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</si>
  <si>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</si>
  <si>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</si>
  <si>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</si>
  <si>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</si>
  <si>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</si>
  <si>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</si>
  <si>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</si>
  <si>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</si>
  <si>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</si>
  <si>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</si>
  <si>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</si>
  <si>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</si>
  <si>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</si>
  <si>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</si>
  <si>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</si>
  <si>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</si>
  <si>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</si>
  <si>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</si>
  <si>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</si>
  <si>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</si>
  <si>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</si>
  <si>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</si>
  <si>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</si>
  <si>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</si>
  <si>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</si>
  <si>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</si>
  <si>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</si>
  <si>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</si>
  <si>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</si>
  <si>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</si>
  <si>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</si>
  <si>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</si>
  <si>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</si>
  <si>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</si>
  <si>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</si>
  <si>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</si>
  <si>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</si>
  <si>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</si>
  <si>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</si>
  <si>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</si>
  <si>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</si>
  <si>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</si>
  <si>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</si>
  <si>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</si>
  <si>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</si>
  <si>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</si>
  <si>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</si>
  <si>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</si>
  <si>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</si>
  <si>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</si>
  <si>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</si>
  <si>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</si>
  <si>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</si>
  <si>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</si>
  <si>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</si>
  <si>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</si>
  <si>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</si>
  <si>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</si>
  <si>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</si>
  <si>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</si>
  <si>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</si>
  <si>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</si>
  <si>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</si>
  <si>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</si>
  <si>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</si>
  <si>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</si>
  <si>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</si>
  <si>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</si>
  <si>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</si>
  <si>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</si>
  <si>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</si>
  <si>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</si>
  <si>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</si>
  <si>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</si>
  <si>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</si>
  <si>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</si>
  <si>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</si>
  <si>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</si>
  <si>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</si>
  <si>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</si>
  <si>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</si>
  <si>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</si>
  <si>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</si>
  <si>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</si>
  <si>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</si>
  <si>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</si>
  <si>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</si>
  <si>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</si>
  <si>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</si>
  <si>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</si>
  <si>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</si>
  <si>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</si>
  <si>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</si>
  <si>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</si>
  <si>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</si>
  <si>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</si>
  <si>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</si>
  <si>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</si>
  <si>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</si>
  <si>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</si>
  <si>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</si>
  <si>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</si>
  <si>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</si>
  <si>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</si>
  <si>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</si>
  <si>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</si>
  <si>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</si>
  <si>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</si>
  <si>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</si>
  <si>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</si>
  <si>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</si>
  <si>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</si>
  <si>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</si>
  <si>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</si>
  <si>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</si>
  <si>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</si>
  <si>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</si>
  <si>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</si>
  <si>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</si>
  <si>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</si>
  <si>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</si>
  <si>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</si>
  <si>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</si>
  <si>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</si>
  <si>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</si>
  <si>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</si>
  <si>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</si>
  <si>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</si>
  <si>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</si>
  <si>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</si>
  <si>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</si>
  <si>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</si>
  <si>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</si>
  <si>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</si>
  <si>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</si>
  <si>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</si>
  <si>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</si>
  <si>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</si>
  <si>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</si>
  <si>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</si>
  <si>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</si>
  <si>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</si>
  <si>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</si>
  <si>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</si>
  <si>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</si>
  <si>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</si>
  <si>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</si>
  <si>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</si>
  <si>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</si>
  <si>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</si>
  <si>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</si>
  <si>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</si>
  <si>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</si>
  <si>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</si>
  <si>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</si>
  <si>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</si>
  <si>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</si>
  <si>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</si>
  <si>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</si>
  <si>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</si>
  <si>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</si>
  <si>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</si>
  <si>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</si>
  <si>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</si>
  <si>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</si>
  <si>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</si>
  <si>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</si>
  <si>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</si>
  <si>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</si>
  <si>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</si>
  <si>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</si>
  <si>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</si>
  <si>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</si>
  <si>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</si>
  <si>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</si>
  <si>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</si>
  <si>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</si>
  <si>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</si>
  <si>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</si>
  <si>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</si>
  <si>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</si>
  <si>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</si>
  <si>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</si>
  <si>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</si>
  <si>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</si>
  <si>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</si>
  <si>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</si>
  <si>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</si>
  <si>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</si>
  <si>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</si>
  <si>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</si>
  <si>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</si>
  <si>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</si>
  <si>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</si>
  <si>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</si>
  <si>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</si>
  <si>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</si>
  <si>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</si>
  <si>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</si>
  <si>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</si>
  <si>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</si>
  <si>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</si>
  <si>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</si>
  <si>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</si>
  <si>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</si>
  <si>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</si>
  <si>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</si>
  <si>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</si>
  <si>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</si>
  <si>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</si>
  <si>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</si>
  <si>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</si>
  <si>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</si>
  <si>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</si>
  <si>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</si>
  <si>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</si>
  <si>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</si>
  <si>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</si>
  <si>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</si>
  <si>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</si>
  <si>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</si>
  <si>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</si>
  <si>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</si>
  <si>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</si>
  <si>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</si>
  <si>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</si>
  <si>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</si>
  <si>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</si>
  <si>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</si>
  <si>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</si>
  <si>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</si>
  <si>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</si>
  <si>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</si>
  <si>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</si>
  <si>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</si>
  <si>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</si>
  <si>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</si>
  <si>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</si>
  <si>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</si>
  <si>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</si>
  <si>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</si>
  <si>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</si>
  <si>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</si>
  <si>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</si>
  <si>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</si>
  <si>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</si>
  <si>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</si>
  <si>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</si>
  <si>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</si>
  <si>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</si>
  <si>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</si>
  <si>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</si>
  <si>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</si>
  <si>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</si>
  <si>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</si>
  <si>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</si>
  <si>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</si>
  <si>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</si>
  <si>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</si>
  <si>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</si>
  <si>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</si>
  <si>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</si>
  <si>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</si>
  <si>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</si>
  <si>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</si>
  <si>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</si>
  <si>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</si>
  <si>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</si>
  <si>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</si>
  <si>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</si>
  <si>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</si>
  <si>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</si>
  <si>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</si>
  <si>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</si>
  <si>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</si>
  <si>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</si>
  <si>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</si>
  <si>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</si>
  <si>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</si>
  <si>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</si>
  <si>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</si>
  <si>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</si>
  <si>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</si>
  <si>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</si>
  <si>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</si>
  <si>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</si>
  <si>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</si>
  <si>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</si>
  <si>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</si>
  <si>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</si>
  <si>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</si>
  <si>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</si>
  <si>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</si>
  <si>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</si>
  <si>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</si>
  <si>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</si>
  <si>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</si>
  <si>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</si>
  <si>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</si>
  <si>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</si>
  <si>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</si>
  <si>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</si>
  <si>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</si>
  <si>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</si>
  <si>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</si>
  <si>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</si>
  <si>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</si>
  <si>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</si>
  <si>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</si>
  <si>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</si>
  <si>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</si>
  <si>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</si>
  <si>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</si>
  <si>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</si>
  <si>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</si>
  <si>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</si>
  <si>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</si>
  <si>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</si>
  <si>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</si>
  <si>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</si>
  <si>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</si>
  <si>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</si>
  <si>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</si>
  <si>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</si>
  <si>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</si>
  <si>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</si>
  <si>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</si>
  <si>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</si>
  <si>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</si>
  <si>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</si>
  <si>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</si>
  <si>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</si>
  <si>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</si>
  <si>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</si>
  <si>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</si>
  <si>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</si>
  <si>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</si>
  <si>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</si>
  <si>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</si>
  <si>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</si>
  <si>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</si>
  <si>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</si>
  <si>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</si>
  <si>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</si>
  <si>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</si>
  <si>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</si>
  <si>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</si>
  <si>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</si>
  <si>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</si>
  <si>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</si>
  <si>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</si>
  <si>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</si>
  <si>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</si>
  <si>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</si>
  <si>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</si>
  <si>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</si>
  <si>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</si>
  <si>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</si>
  <si>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</si>
  <si>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</si>
  <si>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</si>
  <si>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</si>
  <si>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</si>
  <si>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</si>
  <si>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</si>
  <si>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</si>
  <si>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</si>
  <si>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</si>
  <si>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</si>
  <si>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</si>
  <si>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</si>
  <si>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</si>
  <si>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</si>
  <si>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</si>
  <si>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</si>
  <si>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</si>
  <si>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</si>
  <si>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</si>
  <si>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</si>
  <si>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</si>
  <si>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</si>
  <si>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</si>
  <si>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</si>
  <si>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</si>
  <si>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</si>
  <si>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</si>
  <si>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</si>
  <si>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</si>
  <si>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</si>
  <si>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</si>
  <si>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</si>
  <si>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</si>
  <si>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</si>
  <si>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</si>
  <si>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</si>
  <si>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</si>
  <si>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</si>
  <si>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</si>
  <si>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</si>
  <si>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</si>
  <si>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</si>
  <si>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</si>
  <si>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</si>
  <si>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</si>
  <si>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</si>
  <si>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</si>
  <si>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</si>
  <si>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</si>
  <si>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</si>
  <si>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</si>
  <si>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</si>
  <si>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</si>
  <si>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</si>
  <si>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</si>
  <si>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</si>
  <si>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</si>
  <si>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</si>
  <si>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</si>
  <si>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</si>
  <si>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</si>
  <si>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</si>
  <si>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</si>
  <si>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</si>
  <si>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</si>
  <si>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</si>
  <si>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</si>
  <si>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</si>
  <si>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</si>
  <si>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</si>
  <si>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</si>
  <si>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</si>
  <si>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</si>
  <si>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</si>
  <si>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</si>
  <si>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</si>
  <si>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</si>
  <si>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</si>
  <si>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</si>
  <si>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</si>
  <si>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</si>
  <si>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</si>
  <si>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</si>
  <si>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</si>
  <si>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</si>
  <si>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</si>
  <si>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</si>
  <si>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</si>
  <si>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</si>
  <si>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</si>
  <si>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</si>
  <si>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</si>
  <si>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</si>
  <si>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</si>
  <si>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</si>
  <si>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</si>
  <si>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</si>
  <si>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</si>
  <si>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</si>
  <si>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</si>
  <si>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</si>
  <si>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</si>
  <si>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</si>
  <si>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</si>
  <si>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</si>
  <si>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</si>
  <si>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</si>
  <si>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</si>
  <si>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</si>
  <si>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</si>
  <si>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</si>
  <si>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</si>
  <si>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</si>
  <si>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</si>
  <si>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</si>
  <si>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</si>
  <si>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</si>
  <si>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</si>
  <si>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</si>
  <si>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</si>
  <si>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</si>
  <si>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</si>
  <si>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</si>
  <si>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</si>
  <si>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</si>
  <si>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</si>
  <si>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</si>
  <si>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</si>
  <si>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</si>
  <si>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</si>
  <si>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</si>
  <si>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</si>
  <si>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</si>
  <si>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</si>
  <si>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</si>
  <si>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</si>
  <si>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</si>
  <si>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</si>
  <si>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</si>
  <si>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</si>
  <si>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</si>
  <si>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</si>
  <si>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</si>
  <si>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</si>
  <si>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</si>
  <si>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</si>
  <si>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</si>
  <si>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</si>
  <si>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</si>
  <si>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</si>
  <si>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</si>
  <si>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</si>
  <si>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</si>
  <si>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</si>
  <si>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</si>
  <si>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</si>
  <si>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</si>
  <si>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</si>
  <si>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</si>
  <si>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</si>
  <si>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</si>
  <si>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</si>
  <si>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</si>
  <si>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</si>
  <si>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</si>
  <si>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</si>
  <si>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</si>
  <si>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</si>
  <si>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</si>
  <si>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</si>
  <si>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</si>
  <si>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</si>
  <si>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</si>
  <si>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</si>
  <si>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</si>
  <si>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</si>
  <si>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</si>
  <si>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</si>
  <si>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</si>
  <si>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</si>
  <si>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</si>
  <si>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</si>
  <si>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</si>
  <si>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</si>
  <si>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</si>
  <si>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</si>
  <si>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</si>
  <si>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</si>
  <si>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</si>
  <si>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</si>
  <si>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</si>
  <si>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</si>
  <si>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</si>
  <si>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</si>
  <si>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</si>
  <si>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</si>
  <si>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</si>
  <si>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</si>
  <si>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</si>
  <si>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</si>
  <si>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</si>
  <si>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</si>
  <si>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</si>
  <si>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</si>
  <si>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</si>
  <si>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</si>
  <si>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</si>
  <si>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</si>
  <si>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</si>
  <si>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</si>
  <si>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</si>
  <si>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</si>
  <si>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</si>
  <si>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</si>
  <si>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</si>
  <si>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</si>
  <si>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</si>
  <si>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</si>
  <si>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</si>
  <si>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</si>
  <si>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</si>
  <si>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</si>
  <si>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</si>
  <si>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</si>
  <si>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</si>
  <si>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</si>
  <si>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</si>
  <si>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</si>
  <si>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</si>
  <si>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</si>
  <si>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</si>
  <si>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</si>
  <si>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</si>
  <si>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</si>
  <si>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</si>
  <si>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</si>
  <si>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</si>
  <si>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</si>
  <si>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</si>
  <si>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</si>
  <si>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</si>
  <si>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</si>
  <si>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</si>
  <si>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</si>
  <si>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</si>
  <si>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</si>
  <si>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</si>
  <si>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</si>
  <si>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</si>
  <si>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</si>
  <si>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</si>
  <si>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</si>
  <si>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</si>
  <si>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</si>
  <si>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</si>
  <si>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</si>
  <si>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</si>
  <si>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</si>
  <si>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</si>
  <si>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</si>
  <si>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</si>
  <si>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</si>
  <si>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</si>
  <si>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</si>
  <si>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</si>
  <si>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</si>
  <si>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</si>
  <si>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</si>
  <si>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a - curling - bežné transfery</t>
  </si>
  <si>
    <t>382025</t>
  </si>
  <si>
    <t>413</t>
  </si>
  <si>
    <t>36066257</t>
  </si>
  <si>
    <t>Ružinosvský športový klub, p.o.</t>
  </si>
  <si>
    <t>ubytovanie</t>
  </si>
  <si>
    <t>AIRBNB</t>
  </si>
  <si>
    <t>402025</t>
  </si>
  <si>
    <t>0410229552995</t>
  </si>
  <si>
    <t>letištné poplatky</t>
  </si>
  <si>
    <t>16189469</t>
  </si>
  <si>
    <t xml:space="preserve">FINNAIR </t>
  </si>
  <si>
    <t>412025</t>
  </si>
  <si>
    <t>0410229552997</t>
  </si>
  <si>
    <t>422025</t>
  </si>
  <si>
    <t>0410229552996</t>
  </si>
  <si>
    <t>letenky</t>
  </si>
  <si>
    <t>432025</t>
  </si>
  <si>
    <t>0410229552998</t>
  </si>
  <si>
    <t>442025</t>
  </si>
  <si>
    <t>0410229552999</t>
  </si>
  <si>
    <t>452025</t>
  </si>
  <si>
    <t>0410229553000</t>
  </si>
  <si>
    <t>462025</t>
  </si>
  <si>
    <t>0410229553001</t>
  </si>
  <si>
    <t>472025</t>
  </si>
  <si>
    <t>0410229553002</t>
  </si>
  <si>
    <t>482025</t>
  </si>
  <si>
    <t>0410229553003</t>
  </si>
  <si>
    <t>492025</t>
  </si>
  <si>
    <t>3004466</t>
  </si>
  <si>
    <t>kancelária SCZ</t>
  </si>
  <si>
    <t>17332397</t>
  </si>
  <si>
    <t>UTAR-Technologicke centrum s r.o.</t>
  </si>
  <si>
    <t>502025</t>
  </si>
  <si>
    <t>1510229478636</t>
  </si>
  <si>
    <t>doprava</t>
  </si>
  <si>
    <t>35 821 019</t>
  </si>
  <si>
    <t>Slovak Lines, a.s</t>
  </si>
  <si>
    <t>512025</t>
  </si>
  <si>
    <t>1510229478637</t>
  </si>
  <si>
    <t>522025</t>
  </si>
  <si>
    <t>2710229440406</t>
  </si>
  <si>
    <t>športové vybavenie</t>
  </si>
  <si>
    <t>SKEKI GMBH</t>
  </si>
  <si>
    <t>532025</t>
  </si>
  <si>
    <t>2910229513319</t>
  </si>
  <si>
    <t>LUFTHANSA</t>
  </si>
  <si>
    <t>542025</t>
  </si>
  <si>
    <t>2910229513320</t>
  </si>
  <si>
    <t>18629857</t>
  </si>
  <si>
    <t>552025</t>
  </si>
  <si>
    <t>2910229513321</t>
  </si>
  <si>
    <t>562025</t>
  </si>
  <si>
    <t>3110IG0233530</t>
  </si>
  <si>
    <t>Poplatok poštovné</t>
  </si>
  <si>
    <t>313 20 155</t>
  </si>
  <si>
    <t>VÚB, a.s.</t>
  </si>
  <si>
    <t>572025</t>
  </si>
  <si>
    <t>3110IG0233531</t>
  </si>
  <si>
    <t>Vedenie účtu</t>
  </si>
  <si>
    <t>582025</t>
  </si>
  <si>
    <t>3110IG0233532</t>
  </si>
  <si>
    <t>Poplatky za platby nad rámec konta</t>
  </si>
  <si>
    <t>592025</t>
  </si>
  <si>
    <t>432502668</t>
  </si>
  <si>
    <t>reprezentácia juniorov</t>
  </si>
  <si>
    <t>Kolmen kampuksen urheiluopisto oy</t>
  </si>
  <si>
    <t>602025</t>
  </si>
  <si>
    <t>321</t>
  </si>
  <si>
    <t>prenájom ľadu</t>
  </si>
  <si>
    <t>612025</t>
  </si>
  <si>
    <t>1911229538971</t>
  </si>
  <si>
    <t>01917579</t>
  </si>
  <si>
    <t>RYANAIR</t>
  </si>
  <si>
    <t>622025</t>
  </si>
  <si>
    <t>2811IG0227207</t>
  </si>
  <si>
    <t>632025</t>
  </si>
  <si>
    <t>2811IG0227208</t>
  </si>
  <si>
    <t>642025</t>
  </si>
  <si>
    <t>2911229589489</t>
  </si>
  <si>
    <t>652025</t>
  </si>
  <si>
    <t>662025</t>
  </si>
  <si>
    <t>672025</t>
  </si>
  <si>
    <t>VV 01 -2025</t>
  </si>
  <si>
    <t>dotacia klubu</t>
  </si>
  <si>
    <t>37882376</t>
  </si>
  <si>
    <t>Curling Club Poprad</t>
  </si>
  <si>
    <t>682025</t>
  </si>
  <si>
    <t>1. Curlingový club mesta Martin</t>
  </si>
  <si>
    <t>692025</t>
  </si>
  <si>
    <t>43250349</t>
  </si>
  <si>
    <t>Kolmen kampuksen urheiluopisto</t>
  </si>
  <si>
    <t>702025</t>
  </si>
  <si>
    <t>712025</t>
  </si>
  <si>
    <t>37901451</t>
  </si>
  <si>
    <t>1. CC Bratislava</t>
  </si>
  <si>
    <t>722025</t>
  </si>
  <si>
    <t>42263034</t>
  </si>
  <si>
    <t>STONE HUNTERS CURLING CLUB</t>
  </si>
  <si>
    <t>732025</t>
  </si>
  <si>
    <t>1412229715150</t>
  </si>
  <si>
    <t>742025</t>
  </si>
  <si>
    <t>2112229584007</t>
  </si>
  <si>
    <t>752025</t>
  </si>
  <si>
    <t>762025</t>
  </si>
  <si>
    <t>2025</t>
  </si>
  <si>
    <t>vlajky pre reprezentacie</t>
  </si>
  <si>
    <t>772025</t>
  </si>
  <si>
    <t>3112IG0227555</t>
  </si>
  <si>
    <t>782025</t>
  </si>
  <si>
    <t>3112IG0227556</t>
  </si>
  <si>
    <t>792025</t>
  </si>
  <si>
    <t>3112IG0227557</t>
  </si>
  <si>
    <t>prenájom ľadu 04/2025 - čiastočná úhrada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</si>
</sst>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4" val="1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59"/>
      <c r="D1" s="359"/>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1673</v>
      </c>
      <c r="C6" s="205"/>
      <c r="D6" s="205"/>
    </row>
    <row r="7" spans="1:4" s="18" customFormat="1" ht="15" customHeight="1" x14ac:dyDescent="0.2">
      <c r="A7" s="294" t="s">
        <v>4</v>
      </c>
      <c r="C7" s="205"/>
      <c r="D7" s="205"/>
    </row>
    <row r="8" spans="1:4" s="18" customFormat="1" ht="15" customHeight="1" x14ac:dyDescent="0.2">
      <c r="A8" s="269" t="s">
        <v>1328</v>
      </c>
      <c r="C8" s="205"/>
      <c r="D8" s="205"/>
    </row>
    <row r="9" spans="1:4" s="18" customFormat="1" ht="15" customHeight="1" x14ac:dyDescent="0.2">
      <c r="A9" s="269" t="s">
        <v>1329</v>
      </c>
      <c r="C9" s="205"/>
      <c r="D9" s="205"/>
    </row>
    <row r="10" spans="1:4" s="18" customFormat="1" ht="15.75" customHeight="1" x14ac:dyDescent="0.2">
      <c r="A10" s="294" t="s">
        <v>1330</v>
      </c>
      <c r="C10" s="205"/>
      <c r="D10" s="205"/>
    </row>
    <row r="11" spans="1:4" s="18" customFormat="1" ht="42.75" customHeight="1" x14ac:dyDescent="0.2">
      <c r="A11" s="294" t="s">
        <v>1331</v>
      </c>
      <c r="C11" s="205"/>
      <c r="D11" s="205"/>
    </row>
    <row r="12" spans="1:4" s="18" customFormat="1" ht="20.45" customHeight="1" x14ac:dyDescent="0.2">
      <c r="A12" s="302" t="s">
        <v>1350</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60"/>
      <c r="D21" s="360"/>
    </row>
    <row r="22" spans="1:4" x14ac:dyDescent="0.2">
      <c r="C22" s="361"/>
      <c r="D22" s="360"/>
    </row>
    <row r="23" spans="1:4" ht="63.75" x14ac:dyDescent="0.2">
      <c r="A23" s="23" t="s">
        <v>1351</v>
      </c>
      <c r="C23" s="255"/>
      <c r="D23" s="256"/>
    </row>
    <row r="24" spans="1:4" ht="12.75" customHeight="1" x14ac:dyDescent="0.2">
      <c r="C24" s="357"/>
      <c r="D24" s="358"/>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1332</v>
      </c>
    </row>
    <row r="32" spans="1:4" ht="12.6" customHeight="1" x14ac:dyDescent="0.2"/>
    <row r="33" spans="1:3" ht="15.75" customHeight="1" x14ac:dyDescent="0.2">
      <c r="A33" s="19" t="s">
        <v>1333</v>
      </c>
    </row>
    <row r="34" spans="1:3" ht="12.6" customHeight="1" x14ac:dyDescent="0.2"/>
    <row r="35" spans="1:3" ht="51" x14ac:dyDescent="0.2">
      <c r="A35" s="19" t="s">
        <v>1335</v>
      </c>
    </row>
    <row r="36" spans="1:3" ht="12" customHeight="1" x14ac:dyDescent="0.2"/>
    <row r="37" spans="1:3" ht="25.5" x14ac:dyDescent="0.2">
      <c r="A37" s="271" t="s">
        <v>1334</v>
      </c>
    </row>
    <row r="39" spans="1:3" ht="76.5" x14ac:dyDescent="0.2">
      <c r="A39" s="23" t="s">
        <v>1336</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1337</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1338</v>
      </c>
    </row>
    <row r="49" spans="1:1" ht="12" customHeight="1" x14ac:dyDescent="0.2"/>
    <row r="50" spans="1:1" ht="38.25" x14ac:dyDescent="0.2">
      <c r="A50" s="19" t="s">
        <v>1339</v>
      </c>
    </row>
    <row r="51" spans="1:1" ht="12.75" customHeight="1" x14ac:dyDescent="0.2"/>
    <row r="52" spans="1:1" ht="76.5" x14ac:dyDescent="0.2">
      <c r="A52" s="19" t="s">
        <v>1340</v>
      </c>
    </row>
    <row r="53" spans="1:1" ht="12.75" customHeight="1" x14ac:dyDescent="0.2"/>
    <row r="54" spans="1:1" ht="38.25" x14ac:dyDescent="0.2">
      <c r="A54" s="19" t="s">
        <v>1341</v>
      </c>
    </row>
    <row r="56" spans="1:1" x14ac:dyDescent="0.2">
      <c r="A56" s="19" t="s">
        <v>16</v>
      </c>
    </row>
    <row r="58" spans="1:1" x14ac:dyDescent="0.2">
      <c r="A58" s="19" t="s">
        <v>17</v>
      </c>
    </row>
    <row r="60" spans="1:1" ht="121.7" customHeight="1" x14ac:dyDescent="0.2">
      <c r="A60" s="23" t="s">
        <v>1342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1361</v>
      </c>
    </row>
    <row r="73" spans="1:1" ht="38.25" x14ac:dyDescent="0.2">
      <c r="A73" s="23" t="s">
        <v>1362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1352</v>
      </c>
    </row>
    <row r="96" spans="1:2" x14ac:dyDescent="0.2">
      <c r="A96" s="23"/>
    </row>
    <row r="97" spans="1:4" x14ac:dyDescent="0.2">
      <c r="A97" s="260" t="s">
        <v>40</v>
      </c>
    </row>
    <row r="98" spans="1:4" ht="68.45" customHeight="1" x14ac:dyDescent="0.2">
      <c r="A98" s="23" t="s">
        <v>1353</v>
      </c>
    </row>
    <row r="99" spans="1:4" x14ac:dyDescent="0.2">
      <c r="A99" s="23"/>
    </row>
    <row r="100" spans="1:4" x14ac:dyDescent="0.2">
      <c r="A100" s="260" t="s">
        <v>41</v>
      </c>
    </row>
    <row r="101" spans="1:4" ht="89.25" x14ac:dyDescent="0.2">
      <c r="A101" s="23" t="s">
        <v>1354</v>
      </c>
    </row>
    <row r="102" spans="1:4" x14ac:dyDescent="0.2">
      <c r="A102" s="23"/>
    </row>
    <row r="103" spans="1:4" x14ac:dyDescent="0.2">
      <c r="A103" s="295" t="s">
        <v>42</v>
      </c>
    </row>
    <row r="104" spans="1:4" ht="51" x14ac:dyDescent="0.2">
      <c r="A104" s="23" t="s">
        <v>1355</v>
      </c>
    </row>
    <row r="105" spans="1:4" x14ac:dyDescent="0.2">
      <c r="A105" s="23"/>
      <c r="B105" s="20" t="s">
        <v>43</v>
      </c>
    </row>
    <row r="106" spans="1:4" x14ac:dyDescent="0.2">
      <c r="A106" s="260" t="s">
        <v>44</v>
      </c>
    </row>
    <row r="107" spans="1:4" ht="71.25" customHeight="1" x14ac:dyDescent="0.2">
      <c r="A107" s="19" t="s">
        <v>1356</v>
      </c>
    </row>
    <row r="108" spans="1:4" ht="38.25" x14ac:dyDescent="0.2">
      <c r="A108" s="19" t="s">
        <v>1346</v>
      </c>
    </row>
    <row r="109" spans="1:4" ht="25.5" x14ac:dyDescent="0.2">
      <c r="A109" s="19" t="s">
        <v>45</v>
      </c>
    </row>
    <row r="110" spans="1:4" ht="10.5" customHeight="1" x14ac:dyDescent="0.2">
      <c r="D110" s="20" t="s">
        <v>43</v>
      </c>
    </row>
    <row r="111" spans="1:4" ht="99.75" customHeight="1" x14ac:dyDescent="0.2">
      <c r="A111" s="23" t="s">
        <v>1345</v>
      </c>
    </row>
    <row r="112" spans="1:4" ht="25.5" x14ac:dyDescent="0.2">
      <c r="A112" s="19" t="s">
        <v>1344</v>
      </c>
    </row>
    <row r="114" spans="1:2" ht="178.5" x14ac:dyDescent="0.2">
      <c r="A114" s="23" t="s">
        <v>1357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1358</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1347</v>
      </c>
    </row>
    <row r="133" spans="1:1" ht="61.5" customHeight="1" x14ac:dyDescent="0.2">
      <c r="A133" s="301" t="s">
        <v>1359</v>
      </c>
    </row>
    <row r="134" spans="1:1" x14ac:dyDescent="0.2">
      <c r="A134" s="260" t="s">
        <v>1360</v>
      </c>
    </row>
    <row r="135" spans="1:1" ht="102" x14ac:dyDescent="0.2">
      <c r="A135" s="301" t="s">
        <v>1348</v>
      </c>
    </row>
    <row r="136" spans="1:1" x14ac:dyDescent="0.2">
      <c r="A136"/>
    </row>
    <row r="137" spans="1:1" ht="71.45" customHeight="1" x14ac:dyDescent="0.2">
      <c r="A137" s="300" t="s">
        <v>1349</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zoomScaleNormal="100" workbookViewId="0">
      <selection activeCell="F8" sqref="F8"/>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Slovenský curlingový zväz, Zahradnícka 27, Bratislava, 811 07</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1252</v>
      </c>
      <c r="E6" s="140" t="s">
        <v>1253</v>
      </c>
      <c r="F6" s="149">
        <v>46127</v>
      </c>
      <c r="N6" s="137" t="str">
        <f t="shared" si="0"/>
        <v>f - plnenie úloh verejného záujmu v športe</v>
      </c>
      <c r="O6" s="137" t="s">
        <v>349</v>
      </c>
      <c r="P6" s="137" t="str">
        <f>Spolu!B22</f>
        <v>plnenie úloh verejného záujmu v športe</v>
      </c>
    </row>
    <row r="7" spans="1:16" x14ac:dyDescent="0.2">
      <c r="C7" s="138" t="s">
        <v>1255</v>
      </c>
      <c r="E7" s="140" t="s">
        <v>1256</v>
      </c>
      <c r="F7" s="150">
        <v>1.35</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1668</v>
      </c>
      <c r="E8" s="140" t="s">
        <v>1258</v>
      </c>
      <c r="F8" s="151" t="s">
        <v>693</v>
      </c>
      <c r="N8" s="137" t="str">
        <f t="shared" si="0"/>
        <v>h - podpora a rozvoj turistických a cykloturistických trás</v>
      </c>
      <c r="O8" s="137" t="s">
        <v>353</v>
      </c>
      <c r="P8" s="137" t="str">
        <f>Spolu!B24</f>
        <v>podpora a rozvoj turistických a cykloturistických trás</v>
      </c>
    </row>
    <row r="9" spans="1:16" x14ac:dyDescent="0.2">
      <c r="C9" s="273"/>
      <c r="E9" s="140" t="s">
        <v>1280</v>
      </c>
      <c r="F9" s="151" t="s">
        <v>1287</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1259</v>
      </c>
      <c r="F10" s="149">
        <v>46127</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15.04.2026 sme poukázali Ministerstvu cestovného ruchu a športu Slovenskej republiky nevyčerpané finančné prostriedky v sume 1,35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
      <c r="A14" s="139" t="s">
        <v>1265</v>
      </c>
      <c r="B14" s="385" t="s">
        <v>1283</v>
      </c>
      <c r="C14" s="386"/>
      <c r="F14" s="311"/>
      <c r="N14" s="137" t="str">
        <f t="shared" si="0"/>
        <v xml:space="preserve">n - </v>
      </c>
      <c r="O14" s="137" t="s">
        <v>364</v>
      </c>
    </row>
    <row r="15" spans="1:16" ht="34.35" customHeight="1" x14ac:dyDescent="0.2">
      <c r="A15" s="139" t="s">
        <v>1284</v>
      </c>
      <c r="B15" s="385"/>
      <c r="C15" s="386"/>
      <c r="F15" s="388"/>
      <c r="N15" s="137" t="str">
        <f t="shared" si="0"/>
        <v xml:space="preserve">o - </v>
      </c>
      <c r="O15" s="137" t="s">
        <v>365</v>
      </c>
    </row>
    <row r="16" spans="1:16" x14ac:dyDescent="0.2">
      <c r="A16" s="139" t="s">
        <v>1268</v>
      </c>
      <c r="B16" s="142" t="str">
        <f>F8</f>
        <v>SK82 0200 0000 0017 0714 0853</v>
      </c>
      <c r="C16" s="137"/>
      <c r="F16" s="388"/>
      <c r="N16" s="137" t="str">
        <f t="shared" si="0"/>
        <v xml:space="preserve">p - </v>
      </c>
      <c r="O16" s="137" t="s">
        <v>366</v>
      </c>
    </row>
    <row r="17" spans="1:16" ht="32.1" customHeight="1" x14ac:dyDescent="0.2">
      <c r="A17" s="139" t="s">
        <v>1271</v>
      </c>
      <c r="B17" s="142" t="str">
        <f>F9</f>
        <v>SK62 8180 0000 0070 0069 4120</v>
      </c>
      <c r="C17" s="137"/>
      <c r="F17" s="388"/>
      <c r="N17" s="137" t="str">
        <f t="shared" si="0"/>
        <v xml:space="preserve">q - </v>
      </c>
      <c r="O17" s="137" t="s">
        <v>367</v>
      </c>
    </row>
    <row r="18" spans="1:16" ht="15.75" thickBot="1" x14ac:dyDescent="0.25">
      <c r="B18" s="193" t="s">
        <v>1285</v>
      </c>
      <c r="C18" s="194">
        <v>31</v>
      </c>
      <c r="N18" s="137" t="str">
        <f t="shared" si="0"/>
        <v xml:space="preserve">r - </v>
      </c>
      <c r="O18" s="137" t="s">
        <v>368</v>
      </c>
    </row>
    <row r="19" spans="1:16" x14ac:dyDescent="0.2">
      <c r="B19" s="193" t="s">
        <v>1273</v>
      </c>
      <c r="C19" s="142" t="str">
        <f>Spolu!C4</f>
        <v>37841866</v>
      </c>
      <c r="F19" s="145" t="s">
        <v>1269</v>
      </c>
      <c r="G19" s="207"/>
      <c r="H19" s="146"/>
      <c r="N19" s="137" t="str">
        <f t="shared" si="0"/>
        <v xml:space="preserve"> - </v>
      </c>
    </row>
    <row r="20" spans="1:16" x14ac:dyDescent="0.2">
      <c r="A20" s="139" t="s">
        <v>392</v>
      </c>
      <c r="B20" s="143">
        <f>F6</f>
        <v>46127</v>
      </c>
      <c r="C20" s="137"/>
      <c r="F20" s="147"/>
      <c r="G20" s="284"/>
      <c r="H20" s="148"/>
    </row>
    <row r="21" spans="1:16" x14ac:dyDescent="0.2">
      <c r="B21" s="137"/>
      <c r="C21" s="137"/>
      <c r="F21" s="147" t="s">
        <v>1274</v>
      </c>
      <c r="G21" s="284">
        <v>421947749446</v>
      </c>
      <c r="H21" s="148"/>
      <c r="N21" s="137" t="str">
        <f>O21&amp;" - "&amp;P21</f>
        <v>026 01 - Šport pre všetkých, školský a univerzitný šport</v>
      </c>
      <c r="O21" s="137" t="s">
        <v>317</v>
      </c>
      <c r="P21" s="137" t="s">
        <v>318</v>
      </c>
    </row>
    <row r="22" spans="1:16" x14ac:dyDescent="0.2">
      <c r="A22" s="137"/>
      <c r="B22" s="137"/>
      <c r="F22" s="147" t="s">
        <v>1275</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1276</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1286</v>
      </c>
    </row>
    <row r="28" spans="1:16" x14ac:dyDescent="0.2">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1288</v>
      </c>
    </row>
    <row r="2" spans="1:2" ht="30" customHeight="1" x14ac:dyDescent="0.2">
      <c r="A2" s="389" t="s">
        <v>1289</v>
      </c>
      <c r="B2" s="389"/>
    </row>
    <row r="3" spans="1:2" x14ac:dyDescent="0.2">
      <c r="A3" s="61" t="s">
        <v>1290</v>
      </c>
      <c r="B3" s="61" t="s">
        <v>1291</v>
      </c>
    </row>
    <row r="4" spans="1:2" x14ac:dyDescent="0.2">
      <c r="A4" s="62" t="s">
        <v>1292</v>
      </c>
      <c r="B4" s="62" t="s">
        <v>1293</v>
      </c>
    </row>
    <row r="5" spans="1:2" x14ac:dyDescent="0.2">
      <c r="A5" s="62" t="s">
        <v>1294</v>
      </c>
      <c r="B5" s="62" t="s">
        <v>1295</v>
      </c>
    </row>
    <row r="6" spans="1:2" x14ac:dyDescent="0.2">
      <c r="A6" s="62" t="s">
        <v>1296</v>
      </c>
      <c r="B6" s="62" t="s">
        <v>1297</v>
      </c>
    </row>
    <row r="7" spans="1:2" x14ac:dyDescent="0.2">
      <c r="A7" s="62" t="s">
        <v>1298</v>
      </c>
      <c r="B7" s="62" t="s">
        <v>1299</v>
      </c>
    </row>
    <row r="8" spans="1:2" x14ac:dyDescent="0.2">
      <c r="A8" s="62" t="s">
        <v>1300</v>
      </c>
      <c r="B8" s="62" t="s">
        <v>1301</v>
      </c>
    </row>
    <row r="9" spans="1:2" x14ac:dyDescent="0.2">
      <c r="A9" s="62" t="s">
        <v>1302</v>
      </c>
      <c r="B9" s="62" t="s">
        <v>1303</v>
      </c>
    </row>
    <row r="10" spans="1:2" x14ac:dyDescent="0.2">
      <c r="A10" s="62" t="s">
        <v>1304</v>
      </c>
      <c r="B10" s="62" t="s">
        <v>1305</v>
      </c>
    </row>
    <row r="11" spans="1:2" x14ac:dyDescent="0.2">
      <c r="A11" s="62" t="s">
        <v>1306</v>
      </c>
      <c r="B11" s="62" t="s">
        <v>1307</v>
      </c>
    </row>
    <row r="12" spans="1:2" x14ac:dyDescent="0.2">
      <c r="A12" s="62" t="s">
        <v>1308</v>
      </c>
      <c r="B12" s="62" t="s">
        <v>1309</v>
      </c>
    </row>
    <row r="13" spans="1:2" x14ac:dyDescent="0.2">
      <c r="A13" s="62" t="s">
        <v>1310</v>
      </c>
      <c r="B13" s="62" t="s">
        <v>1311</v>
      </c>
    </row>
    <row r="14" spans="1:2" x14ac:dyDescent="0.2">
      <c r="A14" s="62" t="s">
        <v>1312</v>
      </c>
      <c r="B14" s="62" t="s">
        <v>1313</v>
      </c>
    </row>
    <row r="15" spans="1:2" x14ac:dyDescent="0.2">
      <c r="A15" s="62" t="s">
        <v>1314</v>
      </c>
      <c r="B15" s="62" t="s">
        <v>1315</v>
      </c>
    </row>
    <row r="16" spans="1:2" x14ac:dyDescent="0.2">
      <c r="A16" s="62" t="s">
        <v>1316</v>
      </c>
      <c r="B16" s="62" t="s">
        <v>1317</v>
      </c>
    </row>
    <row r="17" spans="1:2" x14ac:dyDescent="0.2">
      <c r="A17" s="62" t="s">
        <v>1318</v>
      </c>
      <c r="B17" s="62" t="s">
        <v>1319</v>
      </c>
    </row>
    <row r="18" spans="1:2" x14ac:dyDescent="0.2">
      <c r="A18" s="62" t="s">
        <v>1320</v>
      </c>
      <c r="B18" s="62" t="s">
        <v>1321</v>
      </c>
    </row>
    <row r="19" spans="1:2" x14ac:dyDescent="0.2">
      <c r="A19" s="62" t="s">
        <v>1322</v>
      </c>
      <c r="B19" s="62" t="s">
        <v>1323</v>
      </c>
    </row>
    <row r="20" spans="1:2" x14ac:dyDescent="0.2">
      <c r="A20" s="62" t="s">
        <v>1324</v>
      </c>
      <c r="B20" s="62" t="s">
        <v>1325</v>
      </c>
    </row>
    <row r="21" spans="1:2" x14ac:dyDescent="0.2">
      <c r="A21" s="62" t="s">
        <v>1326</v>
      </c>
      <c r="B21" s="62" t="s">
        <v>1327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62" t="s">
        <v>57</v>
      </c>
      <c r="B1" s="362"/>
      <c r="C1" s="362"/>
      <c r="D1" s="362"/>
      <c r="E1" s="362"/>
      <c r="F1" s="362"/>
      <c r="G1" s="362"/>
      <c r="H1" s="362"/>
      <c r="I1" s="52"/>
      <c r="J1" s="37"/>
    </row>
    <row r="2" spans="1:11" ht="15.75" x14ac:dyDescent="0.25">
      <c r="A2" s="368" t="s">
        <v>58</v>
      </c>
      <c r="B2" s="368"/>
      <c r="C2" s="368"/>
      <c r="D2" s="368"/>
      <c r="E2" s="368"/>
      <c r="F2" s="368"/>
      <c r="G2" s="368"/>
      <c r="H2" s="366" t="str">
        <f>+Doklady!I100</f>
        <v>V4</v>
      </c>
      <c r="I2" s="366"/>
    </row>
    <row r="3" spans="1:11" ht="15" x14ac:dyDescent="0.25">
      <c r="A3" s="40"/>
      <c r="B3" s="40"/>
      <c r="C3" s="40"/>
      <c r="D3" s="40"/>
      <c r="E3" s="40"/>
      <c r="F3" s="40"/>
      <c r="G3" s="40"/>
      <c r="H3" s="367">
        <f>+Doklady!I101</f>
        <v>46048</v>
      </c>
      <c r="I3" s="367"/>
    </row>
    <row r="4" spans="1:11" ht="15.75" customHeight="1" x14ac:dyDescent="0.2">
      <c r="A4" s="41" t="s">
        <v>59</v>
      </c>
      <c r="B4" s="363" t="s">
        <v>60</v>
      </c>
      <c r="C4" s="364"/>
      <c r="D4" s="364"/>
      <c r="E4" s="36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71" t="s">
        <v>311</v>
      </c>
      <c r="B1" s="372"/>
      <c r="C1" s="174">
        <v>45688</v>
      </c>
      <c r="D1" s="26"/>
      <c r="G1" s="252">
        <v>45688</v>
      </c>
    </row>
    <row r="2" spans="1:7" ht="15" x14ac:dyDescent="0.25">
      <c r="A2" s="28"/>
      <c r="B2" s="28"/>
      <c r="G2" s="252">
        <v>45716</v>
      </c>
    </row>
    <row r="3" spans="1:7" ht="14.25" x14ac:dyDescent="0.2">
      <c r="A3" s="30" t="s">
        <v>312</v>
      </c>
      <c r="B3" s="369" t="str">
        <f>INDEX(Adr!B:B,Doklady!B102+1)</f>
        <v>Slovenský curlingový zväz</v>
      </c>
      <c r="C3" s="369"/>
      <c r="D3" s="369"/>
      <c r="G3" s="252">
        <v>45747</v>
      </c>
    </row>
    <row r="4" spans="1:7" ht="14.25" x14ac:dyDescent="0.2">
      <c r="A4" s="30" t="s">
        <v>313</v>
      </c>
      <c r="B4" s="29" t="str">
        <f>RIGHT("0000"&amp;INDEX(Adr!A:A,Doklady!B102+1),8)</f>
        <v>37841866</v>
      </c>
      <c r="G4" s="252">
        <v>45777</v>
      </c>
    </row>
    <row r="5" spans="1:7" ht="14.25" x14ac:dyDescent="0.2">
      <c r="A5" s="30" t="s">
        <v>314</v>
      </c>
      <c r="B5" s="29" t="str">
        <f>INDEX(Adr!D:D,Doklady!B102+1)&amp;", "&amp;INDEX(Adr!E:E,Doklady!B102+1)</f>
        <v>Zahradnícka 27,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24607</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24607</v>
      </c>
      <c r="G15" s="252"/>
    </row>
    <row r="16" spans="1:7" ht="14.25" x14ac:dyDescent="0.2">
      <c r="G16" s="252"/>
    </row>
    <row r="17" spans="1:5" ht="72" customHeight="1" x14ac:dyDescent="0.2">
      <c r="A17" s="370" t="s">
        <v>328</v>
      </c>
      <c r="B17" s="370"/>
      <c r="C17" s="370"/>
      <c r="D17" s="37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4" t="s">
        <v>329</v>
      </c>
      <c r="B1" s="334"/>
      <c r="C1" s="334"/>
      <c r="D1" s="334"/>
      <c r="E1" s="334"/>
      <c r="F1" s="334"/>
      <c r="G1" s="334"/>
      <c r="H1" s="334"/>
      <c r="I1" s="334"/>
    </row>
    <row r="2" spans="1:26" ht="7.5" customHeight="1" x14ac:dyDescent="0.2">
      <c r="C2" s="8"/>
      <c r="D2" s="8"/>
      <c r="E2" s="8"/>
      <c r="F2" s="8"/>
      <c r="G2" s="8"/>
      <c r="H2" s="8"/>
      <c r="I2" s="8"/>
    </row>
    <row r="3" spans="1:26" s="9" customFormat="1" ht="26.1" customHeight="1" x14ac:dyDescent="0.2">
      <c r="B3" s="160" t="s">
        <v>59</v>
      </c>
      <c r="C3" s="335" t="str">
        <f>INDEX(Adr!B2:B240,Doklady!B102)</f>
        <v>Slovenský curlingový zväz</v>
      </c>
      <c r="D3" s="335"/>
      <c r="E3" s="335"/>
      <c r="F3" s="335"/>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INDEX(Adr!A2:A240,Doklady!B102)</f>
        <v>37841866</v>
      </c>
      <c r="I4" s="65">
        <f>Doklady!I101</f>
        <v>46048</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INDEX(Adr!D2:D240,Doklady!B102)&amp;", "&amp;INDEX(Adr!E2:E240,Doklady!B102)&amp;", "&amp;INDEX(Adr!F2:F240,Doklady!B102)</f>
        <v>Zahradnícka 27, Bratislava, 811 07</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36" t="s">
        <v>334</v>
      </c>
      <c r="F9" s="337"/>
      <c r="J9" s="8"/>
      <c r="L9" s="118"/>
      <c r="M9" s="118"/>
      <c r="N9" s="118"/>
      <c r="O9" s="118"/>
      <c r="P9" s="118"/>
      <c r="Q9" s="118"/>
      <c r="R9" s="118"/>
      <c r="S9" s="118"/>
    </row>
    <row r="10" spans="1:26" ht="18" x14ac:dyDescent="0.25">
      <c r="A10" s="69" t="s">
        <v>317</v>
      </c>
      <c r="B10" s="70" t="s">
        <v>318</v>
      </c>
      <c r="C10" s="126">
        <f>SUMIF(FP!J:J,Doklady!$B$1&amp;A10,FP!D:D)</f>
        <v>0</v>
      </c>
      <c r="D10" s="126">
        <f>C10-E10</f>
        <v>0</v>
      </c>
      <c r="E10" s="327">
        <f>SUMIF(K:K,A10,I:I)</f>
        <v>0</v>
      </c>
      <c r="F10" s="328"/>
      <c r="L10" s="120" t="s">
        <v>335</v>
      </c>
      <c r="M10" s="118"/>
      <c r="N10" s="118"/>
      <c r="O10" s="118"/>
      <c r="P10" s="118"/>
      <c r="Q10" s="118"/>
      <c r="R10" s="118"/>
      <c r="S10" s="118"/>
    </row>
    <row r="11" spans="1:26" ht="18" x14ac:dyDescent="0.25">
      <c r="A11" s="69" t="s">
        <v>319</v>
      </c>
      <c r="B11" s="70" t="s">
        <v>320</v>
      </c>
      <c r="C11" s="126">
        <f>SUMIF(FP!J:J,Doklady!$B$1&amp;A11,FP!D:D)</f>
        <v>24607</v>
      </c>
      <c r="D11" s="126">
        <f>+C11-E11</f>
        <v>24605.65</v>
      </c>
      <c r="E11" s="338">
        <f>+I39-I42+I44-I47</f>
        <v>1.3499999999985448</v>
      </c>
      <c r="F11" s="339"/>
      <c r="J11" s="176"/>
      <c r="L11" s="161" t="str">
        <f>L41</f>
        <v>a - curling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27">
        <f>SUMIF(K:K,A12,I:I)</f>
        <v>0</v>
      </c>
      <c r="F12" s="328"/>
      <c r="J12" s="177"/>
      <c r="L12" s="161" t="str">
        <f>L42</f>
        <v>a - curling - kapitálové transfery</v>
      </c>
      <c r="N12" s="118"/>
      <c r="O12" s="118"/>
      <c r="P12" s="118"/>
      <c r="Q12" s="118"/>
      <c r="R12" s="118"/>
      <c r="S12" s="118"/>
    </row>
    <row r="13" spans="1:26" ht="18" x14ac:dyDescent="0.25">
      <c r="A13" s="69" t="s">
        <v>323</v>
      </c>
      <c r="B13" s="70" t="s">
        <v>324</v>
      </c>
      <c r="C13" s="126">
        <f>SUMIF(FP!J:J,Doklady!$B$1&amp;A13,FP!D:D)</f>
        <v>0</v>
      </c>
      <c r="D13" s="126">
        <f>C13-E13</f>
        <v>0</v>
      </c>
      <c r="E13" s="327">
        <f>SUMIF(K:K,A13,I:I)</f>
        <v>0</v>
      </c>
      <c r="F13" s="32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0">
        <f>SUMIF(K:K,A14,I:I)</f>
        <v>0</v>
      </c>
      <c r="F14" s="341"/>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7" t="s">
        <v>337</v>
      </c>
      <c r="C16" s="348"/>
      <c r="D16" s="348"/>
      <c r="E16" s="348"/>
      <c r="F16" s="348"/>
      <c r="G16" s="348"/>
      <c r="H16" s="34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2" t="s">
        <v>340</v>
      </c>
      <c r="C17" s="342"/>
      <c r="D17" s="342"/>
      <c r="E17" s="342"/>
      <c r="F17" s="342"/>
      <c r="G17" s="342"/>
      <c r="H17" s="342"/>
      <c r="I17" s="73">
        <f>SUMIF(FP!I:I,Doklady!$B$1&amp;A17,FP!D:D)</f>
        <v>24607</v>
      </c>
      <c r="T17" s="86"/>
    </row>
    <row r="18" spans="1:20" x14ac:dyDescent="0.2">
      <c r="A18" s="135" t="s">
        <v>341</v>
      </c>
      <c r="B18" s="342" t="s">
        <v>342</v>
      </c>
      <c r="C18" s="342"/>
      <c r="D18" s="342"/>
      <c r="E18" s="342"/>
      <c r="F18" s="342"/>
      <c r="G18" s="342"/>
      <c r="H18" s="342"/>
      <c r="I18" s="73">
        <f>SUMIF(FP!I:I,Doklady!$B$1&amp;A18,FP!D:D)</f>
        <v>0</v>
      </c>
    </row>
    <row r="19" spans="1:20" x14ac:dyDescent="0.2">
      <c r="A19" s="115" t="s">
        <v>343</v>
      </c>
      <c r="B19" s="342" t="s">
        <v>344</v>
      </c>
      <c r="C19" s="342"/>
      <c r="D19" s="342"/>
      <c r="E19" s="342"/>
      <c r="F19" s="342"/>
      <c r="G19" s="342"/>
      <c r="H19" s="342"/>
      <c r="I19" s="73">
        <f>SUMIF(FP!I:I,Doklady!$B$1&amp;A19,FP!D:D)</f>
        <v>0</v>
      </c>
    </row>
    <row r="20" spans="1:20" x14ac:dyDescent="0.2">
      <c r="A20" s="135" t="s">
        <v>345</v>
      </c>
      <c r="B20" s="331" t="s">
        <v>346</v>
      </c>
      <c r="C20" s="332"/>
      <c r="D20" s="332"/>
      <c r="E20" s="332"/>
      <c r="F20" s="332"/>
      <c r="G20" s="332"/>
      <c r="H20" s="333"/>
      <c r="I20" s="73">
        <f>SUMIF(FP!I:I,Doklady!$B$1&amp;A20,FP!D:D)</f>
        <v>0</v>
      </c>
      <c r="T20" s="86"/>
    </row>
    <row r="21" spans="1:20" x14ac:dyDescent="0.2">
      <c r="A21" s="115" t="s">
        <v>347</v>
      </c>
      <c r="B21" s="331" t="s">
        <v>348</v>
      </c>
      <c r="C21" s="332"/>
      <c r="D21" s="332"/>
      <c r="E21" s="332"/>
      <c r="F21" s="332"/>
      <c r="G21" s="332"/>
      <c r="H21" s="333"/>
      <c r="I21" s="73">
        <f>SUMIF(FP!I:I,Doklady!$B$1&amp;A21,FP!D:D)</f>
        <v>0</v>
      </c>
      <c r="T21" s="86"/>
    </row>
    <row r="22" spans="1:20" x14ac:dyDescent="0.2">
      <c r="A22" s="135" t="s">
        <v>349</v>
      </c>
      <c r="B22" s="350" t="s">
        <v>350</v>
      </c>
      <c r="C22" s="351"/>
      <c r="D22" s="351"/>
      <c r="E22" s="351"/>
      <c r="F22" s="351"/>
      <c r="G22" s="351"/>
      <c r="H22" s="352"/>
      <c r="I22" s="73">
        <f>SUMIF(FP!I:I,Doklady!$B$1&amp;A22,FP!D:D)</f>
        <v>0</v>
      </c>
      <c r="T22" s="86"/>
    </row>
    <row r="23" spans="1:20" x14ac:dyDescent="0.2">
      <c r="A23" s="115" t="s">
        <v>351</v>
      </c>
      <c r="B23" s="331" t="s">
        <v>352</v>
      </c>
      <c r="C23" s="332"/>
      <c r="D23" s="332"/>
      <c r="E23" s="332"/>
      <c r="F23" s="332"/>
      <c r="G23" s="332"/>
      <c r="H23" s="333"/>
      <c r="I23" s="73">
        <f>SUMIF(FP!I:I,Doklady!$B$1&amp;A23,FP!D:D)</f>
        <v>0</v>
      </c>
      <c r="T23" s="86"/>
    </row>
    <row r="24" spans="1:20" x14ac:dyDescent="0.2">
      <c r="A24" s="135" t="s">
        <v>353</v>
      </c>
      <c r="B24" s="331" t="s">
        <v>354</v>
      </c>
      <c r="C24" s="332"/>
      <c r="D24" s="332"/>
      <c r="E24" s="332"/>
      <c r="F24" s="332"/>
      <c r="G24" s="332"/>
      <c r="H24" s="333"/>
      <c r="I24" s="73">
        <f>SUMIF(FP!I:I,Doklady!$B$1&amp;A24,FP!D:D)</f>
        <v>0</v>
      </c>
      <c r="T24" s="86"/>
    </row>
    <row r="25" spans="1:20" x14ac:dyDescent="0.2">
      <c r="A25" s="115" t="s">
        <v>355</v>
      </c>
      <c r="B25" s="343" t="s">
        <v>2234</v>
      </c>
      <c r="C25" s="344"/>
      <c r="D25" s="344"/>
      <c r="E25" s="344"/>
      <c r="F25" s="344"/>
      <c r="G25" s="344"/>
      <c r="H25" s="345"/>
      <c r="I25" s="73">
        <f>SUMIF(FP!I:I,Doklady!$B$1&amp;A25,FP!D:D)</f>
        <v>0</v>
      </c>
      <c r="T25" s="86"/>
    </row>
    <row r="26" spans="1:20" x14ac:dyDescent="0.2">
      <c r="A26" s="135" t="s">
        <v>356</v>
      </c>
      <c r="B26" s="331" t="s">
        <v>357</v>
      </c>
      <c r="C26" s="332"/>
      <c r="D26" s="332"/>
      <c r="E26" s="332"/>
      <c r="F26" s="332"/>
      <c r="G26" s="332"/>
      <c r="H26" s="333"/>
      <c r="I26" s="73">
        <f>SUMIF(FP!I:I,Doklady!$B$1&amp;A26,FP!D:D)</f>
        <v>0</v>
      </c>
      <c r="T26" s="86"/>
    </row>
    <row r="27" spans="1:20" x14ac:dyDescent="0.2">
      <c r="A27" s="115" t="s">
        <v>358</v>
      </c>
      <c r="B27" s="331" t="s">
        <v>359</v>
      </c>
      <c r="C27" s="332"/>
      <c r="D27" s="332"/>
      <c r="E27" s="332"/>
      <c r="F27" s="332"/>
      <c r="G27" s="332"/>
      <c r="H27" s="333"/>
      <c r="I27" s="73">
        <f>SUMIF(FP!I:I,Doklady!$B$1&amp;A27,FP!D:D)</f>
        <v>0</v>
      </c>
      <c r="T27" s="86"/>
    </row>
    <row r="28" spans="1:20" x14ac:dyDescent="0.2">
      <c r="A28" s="135" t="s">
        <v>360</v>
      </c>
      <c r="B28" s="331" t="s">
        <v>2975</v>
      </c>
      <c r="C28" s="332"/>
      <c r="D28" s="332"/>
      <c r="E28" s="332"/>
      <c r="F28" s="332"/>
      <c r="G28" s="332"/>
      <c r="H28" s="333"/>
      <c r="I28" s="73">
        <f>SUMIF(FP!I:I,Doklady!$B$1&amp;A28,FP!D:D)</f>
        <v>0</v>
      </c>
      <c r="T28" s="86"/>
    </row>
    <row r="29" spans="1:20" x14ac:dyDescent="0.2">
      <c r="A29" s="115" t="s">
        <v>362</v>
      </c>
      <c r="B29" s="331" t="s">
        <v>363</v>
      </c>
      <c r="C29" s="332"/>
      <c r="D29" s="332"/>
      <c r="E29" s="332"/>
      <c r="F29" s="332"/>
      <c r="G29" s="332"/>
      <c r="H29" s="333"/>
      <c r="I29" s="73">
        <f>SUMIF(FP!I:I,Doklady!$B$1&amp;A29,FP!D:D)</f>
        <v>0</v>
      </c>
      <c r="T29" s="86"/>
    </row>
    <row r="30" spans="1:20" hidden="1" x14ac:dyDescent="0.2">
      <c r="A30" s="135" t="s">
        <v>364</v>
      </c>
      <c r="B30" s="331"/>
      <c r="C30" s="332"/>
      <c r="D30" s="332"/>
      <c r="E30" s="332"/>
      <c r="F30" s="332"/>
      <c r="G30" s="332"/>
      <c r="H30" s="333"/>
      <c r="I30" s="73">
        <f>SUMIF(FP!I:I,Doklady!$B$1&amp;A30,FP!D:D)</f>
        <v>0</v>
      </c>
      <c r="T30" s="86"/>
    </row>
    <row r="31" spans="1:20" hidden="1" x14ac:dyDescent="0.2">
      <c r="A31" s="115" t="s">
        <v>365</v>
      </c>
      <c r="B31" s="331"/>
      <c r="C31" s="332"/>
      <c r="D31" s="332"/>
      <c r="E31" s="332"/>
      <c r="F31" s="332"/>
      <c r="G31" s="332"/>
      <c r="H31" s="333"/>
      <c r="I31" s="73">
        <f>SUMIF(FP!I:I,Doklady!$B$1&amp;A31,FP!D:D)</f>
        <v>0</v>
      </c>
      <c r="T31" s="86"/>
    </row>
    <row r="32" spans="1:20" hidden="1" x14ac:dyDescent="0.2">
      <c r="A32" s="135" t="s">
        <v>366</v>
      </c>
      <c r="B32" s="353"/>
      <c r="C32" s="354"/>
      <c r="D32" s="354"/>
      <c r="E32" s="354"/>
      <c r="F32" s="354"/>
      <c r="G32" s="354"/>
      <c r="H32" s="355"/>
      <c r="I32" s="73">
        <f>SUMIF(FP!I:I,Doklady!$B$1&amp;A32,FP!D:D)</f>
        <v>0</v>
      </c>
      <c r="T32" s="86"/>
    </row>
    <row r="33" spans="1:21" hidden="1" x14ac:dyDescent="0.2">
      <c r="A33" s="115" t="s">
        <v>367</v>
      </c>
      <c r="B33" s="353"/>
      <c r="C33" s="354"/>
      <c r="D33" s="354"/>
      <c r="E33" s="354"/>
      <c r="F33" s="354"/>
      <c r="G33" s="354"/>
      <c r="H33" s="355"/>
      <c r="I33" s="73">
        <f>SUMIF(FP!I:I,Doklady!$B$1&amp;A33,FP!D:D)</f>
        <v>0</v>
      </c>
      <c r="T33" s="86"/>
    </row>
    <row r="34" spans="1:21" hidden="1" x14ac:dyDescent="0.2">
      <c r="A34" s="135" t="s">
        <v>368</v>
      </c>
      <c r="B34" s="356"/>
      <c r="C34" s="356"/>
      <c r="D34" s="356"/>
      <c r="E34" s="356"/>
      <c r="F34" s="356"/>
      <c r="G34" s="356"/>
      <c r="H34" s="356"/>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curling</v>
      </c>
      <c r="C38" s="68" t="s">
        <v>1670</v>
      </c>
      <c r="D38" s="68" t="s">
        <v>1671</v>
      </c>
      <c r="E38" s="68" t="s">
        <v>1672</v>
      </c>
      <c r="F38" s="68" t="s">
        <v>1669</v>
      </c>
      <c r="G38" s="68" t="s">
        <v>370</v>
      </c>
      <c r="H38" s="68" t="s">
        <v>371</v>
      </c>
      <c r="I38" s="67" t="s">
        <v>327</v>
      </c>
      <c r="L38" s="84">
        <f>COUNTIF(FP!N:N,Doklady!B1&amp;"aB")</f>
        <v>1</v>
      </c>
    </row>
    <row r="39" spans="1:21" x14ac:dyDescent="0.2">
      <c r="A39" s="115" t="s">
        <v>339</v>
      </c>
      <c r="B39" s="116" t="s">
        <v>372</v>
      </c>
      <c r="C39" s="78">
        <f>I39*0.2</f>
        <v>4921.4000000000005</v>
      </c>
      <c r="D39" s="78">
        <f>I39*0.2</f>
        <v>4921.4000000000005</v>
      </c>
      <c r="E39" s="78">
        <f>I39*0.25</f>
        <v>6151.75</v>
      </c>
      <c r="F39" s="78">
        <f>+I39*0.15</f>
        <v>3691.0499999999997</v>
      </c>
      <c r="G39" s="78">
        <f>+MAX(I39-C39-D39-E39-F39-H39,0)</f>
        <v>4921.3999999999978</v>
      </c>
      <c r="H39" s="78">
        <f>+IFERROR(VLOOKUP(K40&amp;" - kapitálové transfery",B$53:C$90,2,0),0)</f>
        <v>0</v>
      </c>
      <c r="I39" s="73">
        <f>SUMIF(FP!K:K,K40,FP!D:D)</f>
        <v>24607</v>
      </c>
      <c r="L39" s="84">
        <f>COUNTIF(FP!N:N,Doklady!B1&amp;"aK")</f>
        <v>0</v>
      </c>
      <c r="T39" s="86"/>
    </row>
    <row r="40" spans="1:21" x14ac:dyDescent="0.2">
      <c r="A40" s="115" t="s">
        <v>339</v>
      </c>
      <c r="B40" s="116" t="s">
        <v>373</v>
      </c>
      <c r="C40" s="78">
        <f>DSUM(Doklady!A103:J10000,"GGG",Spolu!L40:M42)</f>
        <v>6750</v>
      </c>
      <c r="D40" s="78">
        <f>DSUM(Doklady!A103:J10000,"GGG",Spolu!N40:O42)</f>
        <v>5279.84</v>
      </c>
      <c r="E40" s="78">
        <f>DSUM(Doklady!A103:J10000,"GGG",Spolu!P40:Q42)</f>
        <v>7423.7000000000007</v>
      </c>
      <c r="F40" s="78">
        <f>DSUM(Doklady!A103:J10000,"GGG",Spolu!R40:S42)</f>
        <v>1492.6499999999999</v>
      </c>
      <c r="G40" s="78">
        <f>DSUM(Doklady!A103:J10000,"GGG",Spolu!T40:U42)-H40</f>
        <v>3659.46</v>
      </c>
      <c r="H40" s="78">
        <f>+IFERROR(VLOOKUP(K40&amp;" - kapitálové transfery",B$53:D$90,3,0),0)</f>
        <v>0</v>
      </c>
      <c r="I40" s="73">
        <f>+C40+D40+E40+F40+G40+H40</f>
        <v>24605.65</v>
      </c>
      <c r="J40" s="218" t="str">
        <f>+K45</f>
        <v>.</v>
      </c>
      <c r="K40" s="218" t="str">
        <f>IF(L38&gt;0,INDEX(FP!K:K,Doklady!B2),".")</f>
        <v>curling</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1.3499999999985448</v>
      </c>
      <c r="J41" s="219">
        <f>+K46</f>
        <v>0</v>
      </c>
      <c r="K41" s="219">
        <f>+I41-H41</f>
        <v>1.3499999999985448</v>
      </c>
      <c r="L41" s="161" t="str">
        <f>IF(L38&gt;0,"a - "&amp;INDEX(FP!C:C,Doklady!B2),2)</f>
        <v>a - curling - bežné transfery</v>
      </c>
      <c r="M41" s="120">
        <v>1</v>
      </c>
      <c r="N41" s="161" t="str">
        <f>+L41</f>
        <v>a - curling - bežné transfery</v>
      </c>
      <c r="O41" s="120">
        <v>2</v>
      </c>
      <c r="P41" s="161" t="str">
        <f>+L41</f>
        <v>a - curling - bežné transfery</v>
      </c>
      <c r="Q41" s="120">
        <v>3</v>
      </c>
      <c r="R41" s="161" t="str">
        <f>+L41</f>
        <v>a - curling - bežné transfery</v>
      </c>
      <c r="S41" s="120">
        <v>4</v>
      </c>
      <c r="T41" s="161" t="str">
        <f>+L41</f>
        <v>a - curling - bežné transfery</v>
      </c>
      <c r="U41" s="120">
        <v>5</v>
      </c>
    </row>
    <row r="42" spans="1:21" ht="10.5" customHeight="1" x14ac:dyDescent="0.2">
      <c r="A42" s="115" t="s">
        <v>339</v>
      </c>
      <c r="B42" s="116" t="s">
        <v>376</v>
      </c>
      <c r="C42" s="73">
        <f>+C40</f>
        <v>6750</v>
      </c>
      <c r="D42" s="216">
        <f>+D40</f>
        <v>5279.84</v>
      </c>
      <c r="E42" s="216">
        <f>+E40</f>
        <v>7423.7000000000007</v>
      </c>
      <c r="F42" s="216">
        <f>+MIN(F39:F40)</f>
        <v>1492.6499999999999</v>
      </c>
      <c r="G42" s="216">
        <f>+MIN(G39+MAX(F39-F40,0)-MAX(E40-E39,0)-MAX(D40-D39,0)-MAX(C40-C39,0),G40)</f>
        <v>3659.46</v>
      </c>
      <c r="H42" s="216">
        <f>+MIN(H39:H40)</f>
        <v>0</v>
      </c>
      <c r="I42" s="73">
        <f>+C42+D42+E42+MIN(F39:F40)+G42+H42</f>
        <v>24605.65</v>
      </c>
      <c r="J42" s="219">
        <f>+K47</f>
        <v>0</v>
      </c>
      <c r="K42" s="219">
        <f>+I42-H42</f>
        <v>24605.65</v>
      </c>
      <c r="L42" s="161" t="str">
        <f>+SUBSTITUTE(L41,"bežné","kapitálové")</f>
        <v>a - curling - kapitálové transfery</v>
      </c>
      <c r="M42" s="120">
        <v>1</v>
      </c>
      <c r="N42" s="161" t="str">
        <f>+L42</f>
        <v>a - curling - kapitálové transfery</v>
      </c>
      <c r="O42" s="120">
        <v>2</v>
      </c>
      <c r="P42" s="161" t="str">
        <f>+L42</f>
        <v>a - curling - kapitálové transfery</v>
      </c>
      <c r="Q42" s="120">
        <v>3</v>
      </c>
      <c r="R42" s="161" t="str">
        <f>+L42</f>
        <v>a - curling - kapitálové transfery</v>
      </c>
      <c r="S42" s="120">
        <v>4</v>
      </c>
      <c r="T42" s="161" t="str">
        <f>+L42</f>
        <v>a - curling - kapitálové transfery</v>
      </c>
      <c r="U42" s="120">
        <v>5</v>
      </c>
    </row>
    <row r="43" spans="1:21" ht="33.7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29"/>
      <c r="B50" s="330"/>
      <c r="C50" s="330"/>
      <c r="D50" s="330"/>
      <c r="E50" s="330"/>
      <c r="F50" s="330"/>
      <c r="G50" s="330"/>
      <c r="H50" s="330"/>
      <c r="I50" s="33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curling - bežné transfery</v>
      </c>
      <c r="C53" s="73">
        <f>IF(A53&lt;&gt;"",INDEX(FP!D:D,Doklady!B$2+(ROW()-53)),"")</f>
        <v>24607</v>
      </c>
      <c r="D53" s="73">
        <f>IF(A53&lt;&gt;"",Doklady!I1-Doklady!J1,"")</f>
        <v>24605.65</v>
      </c>
      <c r="E53" s="73">
        <f>IF(A53&lt;&gt;"",MIN(D53,C53)*Doklady!C1/(1-Doklady!C1),"")</f>
        <v>0</v>
      </c>
      <c r="F53" s="71">
        <f>IF(A53&lt;&gt;"",Doklady!J1,"")</f>
        <v>0</v>
      </c>
      <c r="G53" s="73">
        <f>+IFERROR(HLOOKUP(IF(RIGHT(B53,15)="bežné transfery",LEFT(B53,LEN(B53)-18),0),$J$40:$K$42,3,0),MIN(C53,D53))</f>
        <v>24605.65</v>
      </c>
      <c r="H53" s="71"/>
      <c r="I53" s="73">
        <f>IF(A53&lt;&gt;"",MAX(IF(G53&lt;C53,C53-G53,0)+IF(F53&lt;E53,E53-F53,0),0),0)</f>
        <v>1.3499999999985448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24607</v>
      </c>
      <c r="D130" s="228">
        <f t="shared" ref="D130:I130" si="9">SUM(D53:D129)</f>
        <v>24605.65</v>
      </c>
      <c r="E130" s="228">
        <f t="shared" si="9"/>
        <v>0</v>
      </c>
      <c r="F130" s="228">
        <f t="shared" si="9"/>
        <v>0</v>
      </c>
      <c r="G130" s="228">
        <f t="shared" si="9"/>
        <v>24605.65</v>
      </c>
      <c r="H130" s="228">
        <f t="shared" si="9"/>
        <v>0</v>
      </c>
      <c r="I130" s="228">
        <f t="shared" si="9"/>
        <v>1.3499999999985448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46"/>
      <c r="E140" s="346"/>
      <c r="F140" s="346"/>
      <c r="G140" s="346"/>
      <c r="H140" s="346"/>
      <c r="I140" s="346"/>
      <c r="J140" s="85"/>
    </row>
    <row r="141" spans="1:26" ht="68.25" customHeight="1" x14ac:dyDescent="0.2">
      <c r="A141" s="9"/>
      <c r="B141" s="281" t="s">
        <v>393</v>
      </c>
      <c r="C141" s="214"/>
      <c r="D141" s="326" t="s">
        <v>394</v>
      </c>
      <c r="E141" s="326"/>
      <c r="F141" s="326"/>
      <c r="G141" s="326"/>
      <c r="H141" s="326"/>
      <c r="I141" s="32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9" zoomScaleNormal="100" workbookViewId="0">
      <selection activeCell="M140" sqref="M14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curling - bežné transfery</v>
      </c>
      <c r="B1" s="232" t="str">
        <f>INDEX(Adr!A:A,B102+1)</f>
        <v>37841866</v>
      </c>
      <c r="C1" s="233">
        <f>IF(ROW()&lt;=B$3,INDEX(FP!E:E,B$2+ROW()-1),"")</f>
        <v>0</v>
      </c>
      <c r="D1" s="234" t="str">
        <f>IF(ROW()&lt;=B$3,INDEX(FP!F:F,B$2+ROW()-1),"")</f>
        <v>a</v>
      </c>
      <c r="E1" s="234"/>
      <c r="F1" s="234" t="str">
        <f>IF(ROW()&lt;=B$3,INDEX(FP!G:G,B$2+ROW()-1),"")</f>
        <v>026 02</v>
      </c>
      <c r="G1" s="234"/>
      <c r="H1" s="235" t="str">
        <f>IF(ROW()&lt;=B$3,INDEX(FP!C:C,B$2+ROW()-1),"")</f>
        <v>curling - bežné transfery</v>
      </c>
      <c r="I1" s="236">
        <f t="shared" ref="I1:I6" si="0">IF(ROW()&lt;=B$3,SUMIF(A$107:A$10042,A1,I$107:I$10042),"")</f>
        <v>24605.65</v>
      </c>
      <c r="J1" s="236">
        <f t="shared" ref="J1:J32" si="1">IF(ROW()&lt;=B$3,SUMIFS(I$103:I$50042,A$103:A$50042,K1,J$103:J$50042,L1),"")</f>
        <v>0</v>
      </c>
      <c r="K1" s="110" t="str">
        <f>$A1</f>
        <v>a - curling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250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2977</v>
      </c>
      <c r="J100" s="375"/>
      <c r="K100" s="89"/>
    </row>
    <row r="101" spans="1:25" ht="15.75" x14ac:dyDescent="0.25">
      <c r="A101" s="373"/>
      <c r="B101" s="373"/>
      <c r="C101" s="373"/>
      <c r="D101" s="373"/>
      <c r="E101" s="373"/>
      <c r="F101" s="373"/>
      <c r="G101" s="373"/>
      <c r="H101" s="373"/>
      <c r="I101" s="374">
        <v>46048</v>
      </c>
      <c r="J101" s="374"/>
    </row>
    <row r="102" spans="1:25" ht="14.25" x14ac:dyDescent="0.2">
      <c r="A102" s="249" t="s">
        <v>399</v>
      </c>
      <c r="B102" s="250">
        <v>134</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3028</v>
      </c>
      <c r="B107" s="14" t="s">
        <v>3029</v>
      </c>
      <c r="C107" s="14" t="s">
        <v>3030</v>
      </c>
      <c r="D107" s="16">
        <v>45931</v>
      </c>
      <c r="E107" s="16"/>
      <c r="F107" s="14" t="s">
        <v>3142</v>
      </c>
      <c r="G107" s="14" t="s">
        <v>3031</v>
      </c>
      <c r="H107" s="14" t="s">
        <v>3032</v>
      </c>
      <c r="I107" s="15">
        <v>89.27</v>
      </c>
      <c r="J107" s="77">
        <v>5</v>
      </c>
      <c r="K107" s="92"/>
    </row>
    <row r="108" spans="1:25" ht="22.5" x14ac:dyDescent="0.2">
      <c r="A108" s="14" t="s">
        <v>3028</v>
      </c>
      <c r="B108" s="14" t="s">
        <v>3035</v>
      </c>
      <c r="C108" s="14" t="s">
        <v>3036</v>
      </c>
      <c r="D108" s="16">
        <v>45936</v>
      </c>
      <c r="E108" s="16"/>
      <c r="F108" s="14" t="s">
        <v>3037</v>
      </c>
      <c r="G108" s="14" t="s">
        <v>3038</v>
      </c>
      <c r="H108" s="14" t="s">
        <v>3039</v>
      </c>
      <c r="I108" s="15">
        <v>32</v>
      </c>
      <c r="J108" s="77">
        <v>3</v>
      </c>
      <c r="K108" s="92"/>
    </row>
    <row r="109" spans="1:25" ht="22.5" x14ac:dyDescent="0.2">
      <c r="A109" s="14" t="s">
        <v>3028</v>
      </c>
      <c r="B109" s="14" t="s">
        <v>3040</v>
      </c>
      <c r="C109" s="14" t="s">
        <v>3041</v>
      </c>
      <c r="D109" s="16">
        <v>45936</v>
      </c>
      <c r="E109" s="16"/>
      <c r="F109" s="14" t="s">
        <v>3037</v>
      </c>
      <c r="G109" s="14" t="s">
        <v>3038</v>
      </c>
      <c r="H109" s="14" t="s">
        <v>3039</v>
      </c>
      <c r="I109" s="15">
        <v>32</v>
      </c>
      <c r="J109" s="77">
        <v>3</v>
      </c>
      <c r="K109" s="92"/>
    </row>
    <row r="110" spans="1:25" ht="22.5" x14ac:dyDescent="0.2">
      <c r="A110" s="14" t="s">
        <v>3028</v>
      </c>
      <c r="B110" s="14" t="s">
        <v>3042</v>
      </c>
      <c r="C110" s="14" t="s">
        <v>3043</v>
      </c>
      <c r="D110" s="16">
        <v>45936</v>
      </c>
      <c r="E110" s="16"/>
      <c r="F110" s="14" t="s">
        <v>3044</v>
      </c>
      <c r="G110" s="14" t="s">
        <v>3038</v>
      </c>
      <c r="H110" s="14" t="s">
        <v>3039</v>
      </c>
      <c r="I110" s="15">
        <v>325.63</v>
      </c>
      <c r="J110" s="77">
        <v>3</v>
      </c>
      <c r="K110" s="92"/>
    </row>
    <row r="111" spans="1:25" ht="22.5" x14ac:dyDescent="0.2">
      <c r="A111" s="14" t="s">
        <v>3028</v>
      </c>
      <c r="B111" s="14" t="s">
        <v>3045</v>
      </c>
      <c r="C111" s="14" t="s">
        <v>3046</v>
      </c>
      <c r="D111" s="16">
        <v>45936</v>
      </c>
      <c r="E111" s="16"/>
      <c r="F111" s="14" t="s">
        <v>3044</v>
      </c>
      <c r="G111" s="14" t="s">
        <v>3038</v>
      </c>
      <c r="H111" s="14" t="s">
        <v>3039</v>
      </c>
      <c r="I111" s="15">
        <v>325.63</v>
      </c>
      <c r="J111" s="77">
        <v>3</v>
      </c>
      <c r="K111" s="92"/>
    </row>
    <row r="112" spans="1:25" ht="22.5" x14ac:dyDescent="0.2">
      <c r="A112" s="14" t="s">
        <v>3028</v>
      </c>
      <c r="B112" s="14" t="s">
        <v>3047</v>
      </c>
      <c r="C112" s="14" t="s">
        <v>3048</v>
      </c>
      <c r="D112" s="16">
        <v>45936</v>
      </c>
      <c r="E112" s="16"/>
      <c r="F112" s="14" t="s">
        <v>3044</v>
      </c>
      <c r="G112" s="14" t="s">
        <v>3038</v>
      </c>
      <c r="H112" s="14" t="s">
        <v>3039</v>
      </c>
      <c r="I112" s="15">
        <v>325.63</v>
      </c>
      <c r="J112" s="77">
        <v>3</v>
      </c>
      <c r="K112" s="92"/>
    </row>
    <row r="113" spans="1:11" ht="22.5" x14ac:dyDescent="0.2">
      <c r="A113" s="14" t="s">
        <v>3028</v>
      </c>
      <c r="B113" s="14" t="s">
        <v>3049</v>
      </c>
      <c r="C113" s="14" t="s">
        <v>3050</v>
      </c>
      <c r="D113" s="16">
        <v>45936</v>
      </c>
      <c r="E113" s="16"/>
      <c r="F113" s="14" t="s">
        <v>3044</v>
      </c>
      <c r="G113" s="14" t="s">
        <v>3038</v>
      </c>
      <c r="H113" s="14" t="s">
        <v>3039</v>
      </c>
      <c r="I113" s="15">
        <v>325.63</v>
      </c>
      <c r="J113" s="77">
        <v>3</v>
      </c>
      <c r="K113" s="92"/>
    </row>
    <row r="114" spans="1:11" ht="22.5" x14ac:dyDescent="0.2">
      <c r="A114" s="14" t="s">
        <v>3028</v>
      </c>
      <c r="B114" s="14" t="s">
        <v>3051</v>
      </c>
      <c r="C114" s="14" t="s">
        <v>3052</v>
      </c>
      <c r="D114" s="16">
        <v>45936</v>
      </c>
      <c r="E114" s="16"/>
      <c r="F114" s="14" t="s">
        <v>3044</v>
      </c>
      <c r="G114" s="14" t="s">
        <v>3038</v>
      </c>
      <c r="H114" s="14" t="s">
        <v>3039</v>
      </c>
      <c r="I114" s="15">
        <v>325.63</v>
      </c>
      <c r="J114" s="77">
        <v>3</v>
      </c>
      <c r="K114" s="92"/>
    </row>
    <row r="115" spans="1:11" ht="22.5" x14ac:dyDescent="0.2">
      <c r="A115" s="14" t="s">
        <v>3028</v>
      </c>
      <c r="B115" s="14" t="s">
        <v>3053</v>
      </c>
      <c r="C115" s="14" t="s">
        <v>3054</v>
      </c>
      <c r="D115" s="16">
        <v>45936</v>
      </c>
      <c r="E115" s="16"/>
      <c r="F115" s="14" t="s">
        <v>3044</v>
      </c>
      <c r="G115" s="14" t="s">
        <v>3038</v>
      </c>
      <c r="H115" s="14" t="s">
        <v>3039</v>
      </c>
      <c r="I115" s="15">
        <v>325.63</v>
      </c>
      <c r="J115" s="77">
        <v>3</v>
      </c>
      <c r="K115" s="92"/>
    </row>
    <row r="116" spans="1:11" ht="22.5" x14ac:dyDescent="0.2">
      <c r="A116" s="14" t="s">
        <v>3028</v>
      </c>
      <c r="B116" s="14" t="s">
        <v>3055</v>
      </c>
      <c r="C116" s="14" t="s">
        <v>3056</v>
      </c>
      <c r="D116" s="16">
        <v>45936</v>
      </c>
      <c r="E116" s="16"/>
      <c r="F116" s="14" t="s">
        <v>3044</v>
      </c>
      <c r="G116" s="14" t="s">
        <v>3038</v>
      </c>
      <c r="H116" s="14" t="s">
        <v>3039</v>
      </c>
      <c r="I116" s="15">
        <v>325.63</v>
      </c>
      <c r="J116" s="77">
        <v>3</v>
      </c>
      <c r="K116" s="92"/>
    </row>
    <row r="117" spans="1:11" ht="22.5" x14ac:dyDescent="0.2">
      <c r="A117" s="14" t="s">
        <v>3028</v>
      </c>
      <c r="B117" s="14" t="s">
        <v>3057</v>
      </c>
      <c r="C117" s="14" t="s">
        <v>3058</v>
      </c>
      <c r="D117" s="16">
        <v>45944</v>
      </c>
      <c r="E117" s="16"/>
      <c r="F117" s="14" t="s">
        <v>3059</v>
      </c>
      <c r="G117" s="14" t="s">
        <v>3060</v>
      </c>
      <c r="H117" s="14" t="s">
        <v>3061</v>
      </c>
      <c r="I117" s="15">
        <v>677.59</v>
      </c>
      <c r="J117" s="77">
        <v>5</v>
      </c>
      <c r="K117" s="92"/>
    </row>
    <row r="118" spans="1:11" ht="22.5" x14ac:dyDescent="0.2">
      <c r="A118" s="14" t="s">
        <v>3028</v>
      </c>
      <c r="B118" s="14" t="s">
        <v>3062</v>
      </c>
      <c r="C118" s="14" t="s">
        <v>3063</v>
      </c>
      <c r="D118" s="16">
        <v>45945</v>
      </c>
      <c r="E118" s="16"/>
      <c r="F118" s="14" t="s">
        <v>3064</v>
      </c>
      <c r="G118" s="14" t="s">
        <v>3065</v>
      </c>
      <c r="H118" s="14" t="s">
        <v>3066</v>
      </c>
      <c r="I118" s="15">
        <v>142.6</v>
      </c>
      <c r="J118" s="77">
        <v>5</v>
      </c>
      <c r="K118" s="92"/>
    </row>
    <row r="119" spans="1:11" ht="22.5" x14ac:dyDescent="0.2">
      <c r="A119" s="14" t="s">
        <v>3028</v>
      </c>
      <c r="B119" s="14" t="s">
        <v>3067</v>
      </c>
      <c r="C119" s="14" t="s">
        <v>3068</v>
      </c>
      <c r="D119" s="16">
        <v>45945</v>
      </c>
      <c r="E119" s="16"/>
      <c r="F119" s="14" t="s">
        <v>3033</v>
      </c>
      <c r="G119" s="14"/>
      <c r="H119" s="14" t="s">
        <v>3034</v>
      </c>
      <c r="I119" s="15">
        <v>1666.58</v>
      </c>
      <c r="J119" s="77">
        <v>3</v>
      </c>
      <c r="K119" s="92"/>
    </row>
    <row r="120" spans="1:11" ht="22.5" x14ac:dyDescent="0.2">
      <c r="A120" s="14" t="s">
        <v>3028</v>
      </c>
      <c r="B120" s="14" t="s">
        <v>3069</v>
      </c>
      <c r="C120" s="14" t="s">
        <v>3070</v>
      </c>
      <c r="D120" s="16">
        <v>45957</v>
      </c>
      <c r="E120" s="16"/>
      <c r="F120" s="14" t="s">
        <v>3071</v>
      </c>
      <c r="G120" s="14"/>
      <c r="H120" s="14" t="s">
        <v>3072</v>
      </c>
      <c r="I120" s="15">
        <v>1097.25</v>
      </c>
      <c r="J120" s="77">
        <v>3</v>
      </c>
      <c r="K120" s="92"/>
    </row>
    <row r="121" spans="1:11" ht="22.5" x14ac:dyDescent="0.2">
      <c r="A121" s="14" t="s">
        <v>3028</v>
      </c>
      <c r="B121" s="14" t="s">
        <v>3073</v>
      </c>
      <c r="C121" s="14" t="s">
        <v>3074</v>
      </c>
      <c r="D121" s="16">
        <v>45959</v>
      </c>
      <c r="E121" s="16"/>
      <c r="F121" s="14" t="s">
        <v>3044</v>
      </c>
      <c r="G121" s="14"/>
      <c r="H121" s="14" t="s">
        <v>3075</v>
      </c>
      <c r="I121" s="15">
        <v>269.77</v>
      </c>
      <c r="J121" s="77">
        <v>3</v>
      </c>
      <c r="K121" s="92"/>
    </row>
    <row r="122" spans="1:11" ht="22.5" x14ac:dyDescent="0.2">
      <c r="A122" s="14" t="s">
        <v>3028</v>
      </c>
      <c r="B122" s="14" t="s">
        <v>3076</v>
      </c>
      <c r="C122" s="14" t="s">
        <v>3077</v>
      </c>
      <c r="D122" s="16">
        <v>45959</v>
      </c>
      <c r="E122" s="16"/>
      <c r="F122" s="14" t="s">
        <v>3044</v>
      </c>
      <c r="G122" s="14" t="s">
        <v>3078</v>
      </c>
      <c r="H122" s="14" t="s">
        <v>3075</v>
      </c>
      <c r="I122" s="15">
        <v>269.77</v>
      </c>
      <c r="J122" s="77">
        <v>3</v>
      </c>
      <c r="K122" s="92"/>
    </row>
    <row r="123" spans="1:11" ht="22.5" x14ac:dyDescent="0.2">
      <c r="A123" s="14" t="s">
        <v>3028</v>
      </c>
      <c r="B123" s="14" t="s">
        <v>3079</v>
      </c>
      <c r="C123" s="14" t="s">
        <v>3080</v>
      </c>
      <c r="D123" s="16">
        <v>45959</v>
      </c>
      <c r="E123" s="16"/>
      <c r="F123" s="14" t="s">
        <v>3044</v>
      </c>
      <c r="G123" s="14" t="s">
        <v>3078</v>
      </c>
      <c r="H123" s="14" t="s">
        <v>3075</v>
      </c>
      <c r="I123" s="15">
        <v>269.77</v>
      </c>
      <c r="J123" s="77">
        <v>3</v>
      </c>
      <c r="K123" s="92"/>
    </row>
    <row r="124" spans="1:11" ht="12.75" x14ac:dyDescent="0.2">
      <c r="A124" s="14" t="s">
        <v>3028</v>
      </c>
      <c r="B124" s="14" t="s">
        <v>3081</v>
      </c>
      <c r="C124" s="14" t="s">
        <v>3082</v>
      </c>
      <c r="D124" s="16">
        <v>45959</v>
      </c>
      <c r="E124" s="16"/>
      <c r="F124" s="14" t="s">
        <v>3083</v>
      </c>
      <c r="G124" s="14" t="s">
        <v>3084</v>
      </c>
      <c r="H124" s="14" t="s">
        <v>3085</v>
      </c>
      <c r="I124" s="15">
        <v>3</v>
      </c>
      <c r="J124" s="77">
        <v>4</v>
      </c>
      <c r="K124" s="92"/>
    </row>
    <row r="125" spans="1:11" ht="12.75" x14ac:dyDescent="0.2">
      <c r="A125" s="14" t="s">
        <v>3028</v>
      </c>
      <c r="B125" s="14" t="s">
        <v>3086</v>
      </c>
      <c r="C125" s="14" t="s">
        <v>3087</v>
      </c>
      <c r="D125" s="16">
        <v>45959</v>
      </c>
      <c r="E125" s="16"/>
      <c r="F125" s="14" t="s">
        <v>3088</v>
      </c>
      <c r="G125" s="14" t="s">
        <v>3084</v>
      </c>
      <c r="H125" s="14" t="s">
        <v>3085</v>
      </c>
      <c r="I125" s="15">
        <v>8</v>
      </c>
      <c r="J125" s="77">
        <v>4</v>
      </c>
      <c r="K125" s="92"/>
    </row>
    <row r="126" spans="1:11" ht="12.75" x14ac:dyDescent="0.2">
      <c r="A126" s="14" t="s">
        <v>3028</v>
      </c>
      <c r="B126" s="14" t="s">
        <v>3089</v>
      </c>
      <c r="C126" s="14" t="s">
        <v>3090</v>
      </c>
      <c r="D126" s="16">
        <v>45959</v>
      </c>
      <c r="E126" s="16"/>
      <c r="F126" s="14" t="s">
        <v>3091</v>
      </c>
      <c r="G126" s="14" t="s">
        <v>3084</v>
      </c>
      <c r="H126" s="14" t="s">
        <v>3085</v>
      </c>
      <c r="I126" s="15">
        <v>0.25</v>
      </c>
      <c r="J126" s="77">
        <v>4</v>
      </c>
      <c r="K126" s="92"/>
    </row>
    <row r="127" spans="1:11" ht="22.5" x14ac:dyDescent="0.2">
      <c r="A127" s="14" t="s">
        <v>3028</v>
      </c>
      <c r="B127" s="14" t="s">
        <v>3092</v>
      </c>
      <c r="C127" s="14" t="s">
        <v>3093</v>
      </c>
      <c r="D127" s="16">
        <v>45967</v>
      </c>
      <c r="E127" s="16"/>
      <c r="F127" s="14" t="s">
        <v>3094</v>
      </c>
      <c r="G127" s="14"/>
      <c r="H127" s="14" t="s">
        <v>3095</v>
      </c>
      <c r="I127" s="15">
        <v>1323</v>
      </c>
      <c r="J127" s="77">
        <v>2</v>
      </c>
      <c r="K127" s="92"/>
    </row>
    <row r="128" spans="1:11" ht="12.75" x14ac:dyDescent="0.2">
      <c r="A128" s="14" t="s">
        <v>3028</v>
      </c>
      <c r="B128" s="14" t="s">
        <v>3096</v>
      </c>
      <c r="C128" s="14" t="s">
        <v>3097</v>
      </c>
      <c r="D128" s="16">
        <v>45971</v>
      </c>
      <c r="E128" s="16"/>
      <c r="F128" s="14" t="s">
        <v>3098</v>
      </c>
      <c r="G128" s="14" t="s">
        <v>3031</v>
      </c>
      <c r="H128" s="14" t="s">
        <v>3032</v>
      </c>
      <c r="I128" s="15">
        <v>720</v>
      </c>
      <c r="J128" s="77">
        <v>5</v>
      </c>
      <c r="K128" s="92"/>
    </row>
    <row r="129" spans="1:11" ht="22.5" x14ac:dyDescent="0.2">
      <c r="A129" s="14" t="s">
        <v>3028</v>
      </c>
      <c r="B129" s="14" t="s">
        <v>3099</v>
      </c>
      <c r="C129" s="14" t="s">
        <v>3100</v>
      </c>
      <c r="D129" s="16">
        <v>45980</v>
      </c>
      <c r="E129" s="16"/>
      <c r="F129" s="14" t="s">
        <v>3044</v>
      </c>
      <c r="G129" s="14" t="s">
        <v>3101</v>
      </c>
      <c r="H129" s="14" t="s">
        <v>3102</v>
      </c>
      <c r="I129" s="15">
        <v>359.84</v>
      </c>
      <c r="J129" s="77">
        <v>2</v>
      </c>
      <c r="K129" s="92"/>
    </row>
    <row r="130" spans="1:11" ht="12.75" x14ac:dyDescent="0.2">
      <c r="A130" s="14" t="s">
        <v>3028</v>
      </c>
      <c r="B130" s="14" t="s">
        <v>3103</v>
      </c>
      <c r="C130" s="14" t="s">
        <v>3104</v>
      </c>
      <c r="D130" s="16">
        <v>45989</v>
      </c>
      <c r="E130" s="16"/>
      <c r="F130" s="14" t="s">
        <v>3083</v>
      </c>
      <c r="G130" s="14" t="s">
        <v>3084</v>
      </c>
      <c r="H130" s="14" t="s">
        <v>3085</v>
      </c>
      <c r="I130" s="15">
        <v>3</v>
      </c>
      <c r="J130" s="77">
        <v>4</v>
      </c>
      <c r="K130" s="92"/>
    </row>
    <row r="131" spans="1:11" ht="12.75" x14ac:dyDescent="0.2">
      <c r="A131" s="14" t="s">
        <v>3028</v>
      </c>
      <c r="B131" s="14" t="s">
        <v>3105</v>
      </c>
      <c r="C131" s="14" t="s">
        <v>3106</v>
      </c>
      <c r="D131" s="16">
        <v>45989</v>
      </c>
      <c r="E131" s="16"/>
      <c r="F131" s="14" t="s">
        <v>3088</v>
      </c>
      <c r="G131" s="14" t="s">
        <v>3084</v>
      </c>
      <c r="H131" s="14" t="s">
        <v>3085</v>
      </c>
      <c r="I131" s="15">
        <v>8</v>
      </c>
      <c r="J131" s="77">
        <v>4</v>
      </c>
      <c r="K131" s="92"/>
    </row>
    <row r="132" spans="1:11" ht="22.5" x14ac:dyDescent="0.2">
      <c r="A132" s="14" t="s">
        <v>3028</v>
      </c>
      <c r="B132" s="14" t="s">
        <v>3107</v>
      </c>
      <c r="C132" s="14" t="s">
        <v>3108</v>
      </c>
      <c r="D132" s="16">
        <v>45992</v>
      </c>
      <c r="E132" s="16"/>
      <c r="F132" s="14" t="s">
        <v>3044</v>
      </c>
      <c r="G132" s="14" t="s">
        <v>3101</v>
      </c>
      <c r="H132" s="14" t="s">
        <v>3102</v>
      </c>
      <c r="I132" s="15">
        <v>1507.15</v>
      </c>
      <c r="J132" s="77">
        <v>3</v>
      </c>
      <c r="K132" s="92"/>
    </row>
    <row r="133" spans="1:11" ht="12.75" x14ac:dyDescent="0.2">
      <c r="A133" s="14" t="s">
        <v>3028</v>
      </c>
      <c r="B133" s="14" t="s">
        <v>3109</v>
      </c>
      <c r="C133" s="14" t="s">
        <v>3097</v>
      </c>
      <c r="D133" s="16">
        <v>45993</v>
      </c>
      <c r="E133" s="16"/>
      <c r="F133" s="14" t="s">
        <v>3098</v>
      </c>
      <c r="G133" s="14" t="s">
        <v>3031</v>
      </c>
      <c r="H133" s="14" t="s">
        <v>3032</v>
      </c>
      <c r="I133" s="15">
        <v>2000</v>
      </c>
      <c r="J133" s="77">
        <v>5</v>
      </c>
      <c r="K133" s="92"/>
    </row>
    <row r="134" spans="1:11" ht="12.75" x14ac:dyDescent="0.2">
      <c r="A134" s="14" t="s">
        <v>3028</v>
      </c>
      <c r="B134" s="14" t="s">
        <v>3110</v>
      </c>
      <c r="C134" s="14" t="s">
        <v>3097</v>
      </c>
      <c r="D134" s="16">
        <v>45995</v>
      </c>
      <c r="E134" s="16"/>
      <c r="F134" s="14" t="s">
        <v>3098</v>
      </c>
      <c r="G134" s="14" t="s">
        <v>3031</v>
      </c>
      <c r="H134" s="14" t="s">
        <v>3032</v>
      </c>
      <c r="I134" s="15">
        <v>30</v>
      </c>
      <c r="J134" s="77">
        <v>5</v>
      </c>
      <c r="K134" s="92"/>
    </row>
    <row r="135" spans="1:11" ht="12.75" x14ac:dyDescent="0.2">
      <c r="A135" s="14" t="s">
        <v>3028</v>
      </c>
      <c r="B135" s="14" t="s">
        <v>3111</v>
      </c>
      <c r="C135" s="14" t="s">
        <v>3112</v>
      </c>
      <c r="D135" s="16">
        <v>46000</v>
      </c>
      <c r="E135" s="16"/>
      <c r="F135" s="14" t="s">
        <v>3113</v>
      </c>
      <c r="G135" s="14" t="s">
        <v>3114</v>
      </c>
      <c r="H135" s="14" t="s">
        <v>3115</v>
      </c>
      <c r="I135" s="15">
        <v>750</v>
      </c>
      <c r="J135" s="77">
        <v>2</v>
      </c>
      <c r="K135" s="92"/>
    </row>
    <row r="136" spans="1:11" ht="12.75" x14ac:dyDescent="0.2">
      <c r="A136" s="14" t="s">
        <v>3028</v>
      </c>
      <c r="B136" s="14" t="s">
        <v>3116</v>
      </c>
      <c r="C136" s="14" t="s">
        <v>3112</v>
      </c>
      <c r="D136" s="16">
        <v>46000</v>
      </c>
      <c r="E136" s="16"/>
      <c r="F136" s="14" t="s">
        <v>3113</v>
      </c>
      <c r="G136" s="14" t="s">
        <v>3114</v>
      </c>
      <c r="H136" s="14" t="s">
        <v>3117</v>
      </c>
      <c r="I136" s="15">
        <v>750</v>
      </c>
      <c r="J136" s="77">
        <v>1</v>
      </c>
      <c r="K136" s="92"/>
    </row>
    <row r="137" spans="1:11" ht="12.75" x14ac:dyDescent="0.2">
      <c r="A137" s="14" t="s">
        <v>3028</v>
      </c>
      <c r="B137" s="14" t="s">
        <v>3118</v>
      </c>
      <c r="C137" s="14" t="s">
        <v>3119</v>
      </c>
      <c r="D137" s="16">
        <v>46000</v>
      </c>
      <c r="E137" s="16"/>
      <c r="F137" s="14" t="s">
        <v>1202</v>
      </c>
      <c r="G137" s="14"/>
      <c r="H137" s="14" t="s">
        <v>3120</v>
      </c>
      <c r="I137" s="15">
        <v>847</v>
      </c>
      <c r="J137" s="77">
        <v>2</v>
      </c>
      <c r="K137" s="92"/>
    </row>
    <row r="138" spans="1:11" ht="12.75" x14ac:dyDescent="0.2">
      <c r="A138" s="14" t="s">
        <v>3028</v>
      </c>
      <c r="B138" s="14" t="s">
        <v>3121</v>
      </c>
      <c r="C138" s="14" t="s">
        <v>3119</v>
      </c>
      <c r="D138" s="16">
        <v>46000</v>
      </c>
      <c r="E138" s="16"/>
      <c r="F138" s="14" t="s">
        <v>3094</v>
      </c>
      <c r="G138" s="14"/>
      <c r="H138" s="14" t="s">
        <v>3120</v>
      </c>
      <c r="I138" s="15">
        <v>2000</v>
      </c>
      <c r="J138" s="77">
        <v>2</v>
      </c>
      <c r="K138" s="92"/>
    </row>
    <row r="139" spans="1:11" ht="12.75" x14ac:dyDescent="0.2">
      <c r="A139" s="14" t="s">
        <v>3028</v>
      </c>
      <c r="B139" s="14" t="s">
        <v>3122</v>
      </c>
      <c r="C139" s="14" t="s">
        <v>3112</v>
      </c>
      <c r="D139" s="16">
        <v>46000</v>
      </c>
      <c r="E139" s="16"/>
      <c r="F139" s="14" t="s">
        <v>3113</v>
      </c>
      <c r="G139" s="14" t="s">
        <v>3123</v>
      </c>
      <c r="H139" s="14" t="s">
        <v>3124</v>
      </c>
      <c r="I139" s="15">
        <v>3000</v>
      </c>
      <c r="J139" s="77">
        <v>1</v>
      </c>
      <c r="K139" s="92"/>
    </row>
    <row r="140" spans="1:11" ht="22.5" x14ac:dyDescent="0.2">
      <c r="A140" s="14" t="s">
        <v>3028</v>
      </c>
      <c r="B140" s="14" t="s">
        <v>3125</v>
      </c>
      <c r="C140" s="14" t="s">
        <v>3112</v>
      </c>
      <c r="D140" s="16">
        <v>46000</v>
      </c>
      <c r="E140" s="16"/>
      <c r="F140" s="14" t="s">
        <v>3113</v>
      </c>
      <c r="G140" s="14" t="s">
        <v>3126</v>
      </c>
      <c r="H140" s="14" t="s">
        <v>3127</v>
      </c>
      <c r="I140" s="15">
        <v>3000</v>
      </c>
      <c r="J140" s="77">
        <v>1</v>
      </c>
      <c r="K140" s="92"/>
    </row>
    <row r="141" spans="1:11" ht="22.5" x14ac:dyDescent="0.2">
      <c r="A141" s="14" t="s">
        <v>3028</v>
      </c>
      <c r="B141" s="14" t="s">
        <v>3128</v>
      </c>
      <c r="C141" s="14" t="s">
        <v>3129</v>
      </c>
      <c r="D141" s="16">
        <v>46006</v>
      </c>
      <c r="E141" s="16"/>
      <c r="F141" s="14" t="s">
        <v>3064</v>
      </c>
      <c r="G141" s="14" t="s">
        <v>3065</v>
      </c>
      <c r="H141" s="14" t="s">
        <v>3066</v>
      </c>
      <c r="I141" s="15">
        <v>70.400000000000006</v>
      </c>
      <c r="J141" s="77">
        <v>4</v>
      </c>
      <c r="K141" s="92"/>
    </row>
    <row r="142" spans="1:11" ht="22.5" x14ac:dyDescent="0.2">
      <c r="A142" s="14" t="s">
        <v>3028</v>
      </c>
      <c r="B142" s="14" t="s">
        <v>3130</v>
      </c>
      <c r="C142" s="14" t="s">
        <v>3131</v>
      </c>
      <c r="D142" s="16">
        <v>46013</v>
      </c>
      <c r="E142" s="16"/>
      <c r="F142" s="14" t="s">
        <v>3064</v>
      </c>
      <c r="G142" s="14" t="s">
        <v>3065</v>
      </c>
      <c r="H142" s="14" t="s">
        <v>3066</v>
      </c>
      <c r="I142" s="15">
        <v>100.4</v>
      </c>
      <c r="J142" s="77">
        <v>4</v>
      </c>
      <c r="K142" s="92"/>
    </row>
    <row r="143" spans="1:11" ht="12.75" x14ac:dyDescent="0.2">
      <c r="A143" s="14" t="s">
        <v>3028</v>
      </c>
      <c r="B143" s="14" t="s">
        <v>3132</v>
      </c>
      <c r="C143" s="14" t="s">
        <v>179</v>
      </c>
      <c r="D143" s="16">
        <v>46013</v>
      </c>
      <c r="E143" s="16"/>
      <c r="F143" s="14" t="s">
        <v>3098</v>
      </c>
      <c r="G143" s="14" t="s">
        <v>3031</v>
      </c>
      <c r="H143" s="14" t="s">
        <v>3032</v>
      </c>
      <c r="I143" s="15">
        <v>1188</v>
      </c>
      <c r="J143" s="77">
        <v>4</v>
      </c>
      <c r="K143" s="92"/>
    </row>
    <row r="144" spans="1:11" ht="12.75" x14ac:dyDescent="0.2">
      <c r="A144" s="14" t="s">
        <v>3028</v>
      </c>
      <c r="B144" s="14" t="s">
        <v>3133</v>
      </c>
      <c r="C144" s="14" t="s">
        <v>3134</v>
      </c>
      <c r="D144" s="16">
        <v>46020</v>
      </c>
      <c r="E144" s="16"/>
      <c r="F144" s="14" t="s">
        <v>3135</v>
      </c>
      <c r="G144" s="14" t="s">
        <v>3123</v>
      </c>
      <c r="H144" s="14" t="s">
        <v>3124</v>
      </c>
      <c r="I144" s="15">
        <v>100.35</v>
      </c>
      <c r="J144" s="77">
        <v>4</v>
      </c>
      <c r="K144" s="92"/>
    </row>
    <row r="145" spans="1:11" ht="12.75" x14ac:dyDescent="0.2">
      <c r="A145" s="14" t="s">
        <v>3028</v>
      </c>
      <c r="B145" s="14" t="s">
        <v>3136</v>
      </c>
      <c r="C145" s="14" t="s">
        <v>3137</v>
      </c>
      <c r="D145" s="16">
        <v>46022</v>
      </c>
      <c r="E145" s="16"/>
      <c r="F145" s="14" t="s">
        <v>3083</v>
      </c>
      <c r="G145" s="14" t="s">
        <v>3084</v>
      </c>
      <c r="H145" s="14" t="s">
        <v>3085</v>
      </c>
      <c r="I145" s="15">
        <v>3</v>
      </c>
      <c r="J145" s="77">
        <v>4</v>
      </c>
      <c r="K145" s="92"/>
    </row>
    <row r="146" spans="1:11" ht="12.75" x14ac:dyDescent="0.2">
      <c r="A146" s="14" t="s">
        <v>3028</v>
      </c>
      <c r="B146" s="14" t="s">
        <v>3138</v>
      </c>
      <c r="C146" s="14" t="s">
        <v>3139</v>
      </c>
      <c r="D146" s="16">
        <v>46022</v>
      </c>
      <c r="E146" s="16"/>
      <c r="F146" s="14" t="s">
        <v>3088</v>
      </c>
      <c r="G146" s="14" t="s">
        <v>3084</v>
      </c>
      <c r="H146" s="14" t="s">
        <v>3085</v>
      </c>
      <c r="I146" s="15">
        <v>8</v>
      </c>
      <c r="J146" s="77">
        <v>4</v>
      </c>
      <c r="K146" s="92"/>
    </row>
    <row r="147" spans="1:11" ht="12.75" x14ac:dyDescent="0.2">
      <c r="A147" s="14" t="s">
        <v>3028</v>
      </c>
      <c r="B147" s="14" t="s">
        <v>3140</v>
      </c>
      <c r="C147" s="14" t="s">
        <v>3141</v>
      </c>
      <c r="D147" s="16">
        <v>46022</v>
      </c>
      <c r="E147" s="16"/>
      <c r="F147" s="14" t="s">
        <v>3091</v>
      </c>
      <c r="G147" s="14" t="s">
        <v>3084</v>
      </c>
      <c r="H147" s="14" t="s">
        <v>3085</v>
      </c>
      <c r="I147" s="15">
        <v>0.25</v>
      </c>
      <c r="J147" s="77">
        <v>4</v>
      </c>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4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2.75"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2.75"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2.75" x14ac:dyDescent="0.2">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2.75" x14ac:dyDescent="0.2">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2.75" x14ac:dyDescent="0.2">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2.75" x14ac:dyDescent="0.2">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2.75" x14ac:dyDescent="0.2">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2.75" x14ac:dyDescent="0.2">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2.75" x14ac:dyDescent="0.2">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2.75"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2.5"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2.5"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ht="22.5"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2.75"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2.75"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2.75"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2.5"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2.75" x14ac:dyDescent="0.2">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2.75" x14ac:dyDescent="0.2">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2.75" x14ac:dyDescent="0.2">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2.75" x14ac:dyDescent="0.2">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2.75" x14ac:dyDescent="0.2">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2.75" x14ac:dyDescent="0.2">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2.75" x14ac:dyDescent="0.2">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2.75" x14ac:dyDescent="0.2">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2.75" x14ac:dyDescent="0.2">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2.75" x14ac:dyDescent="0.2">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2.75" x14ac:dyDescent="0.2">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2.5"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ht="22.5"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2.5"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ht="22.5"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2.5"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ht="22.5"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ht="22.5"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ht="22.5"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ht="22.5"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ht="22.5"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2.5"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33.75"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33.75"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2.5"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ht="22.5"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3027</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ht="22.5"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2.5"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ht="22.5"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2.5"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2.5"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1026</v>
      </c>
      <c r="B1" s="2"/>
      <c r="C1" s="2" t="s">
        <v>336</v>
      </c>
      <c r="D1" s="2" t="s">
        <v>1193</v>
      </c>
      <c r="E1" s="2" t="s">
        <v>1194</v>
      </c>
      <c r="F1" s="2" t="s">
        <v>315</v>
      </c>
      <c r="G1" s="2" t="s">
        <v>1195</v>
      </c>
      <c r="H1" s="2"/>
      <c r="I1" s="2" t="s">
        <v>315</v>
      </c>
      <c r="J1" s="2" t="s">
        <v>1196</v>
      </c>
      <c r="K1" s="2"/>
      <c r="L1" s="2"/>
      <c r="M1" s="2"/>
      <c r="N1" s="2"/>
    </row>
    <row r="2" spans="1:14" x14ac:dyDescent="0.2">
      <c r="A2" t="s">
        <v>1197</v>
      </c>
      <c r="C2" t="s">
        <v>339</v>
      </c>
      <c r="D2" t="s">
        <v>1198</v>
      </c>
      <c r="E2">
        <v>1</v>
      </c>
      <c r="F2" t="s">
        <v>319</v>
      </c>
      <c r="G2" t="s">
        <v>1199</v>
      </c>
      <c r="I2" t="s">
        <v>317</v>
      </c>
      <c r="J2" t="s">
        <v>1200</v>
      </c>
    </row>
    <row r="3" spans="1:14" x14ac:dyDescent="0.2">
      <c r="A3" t="s">
        <v>1032</v>
      </c>
      <c r="C3" t="s">
        <v>341</v>
      </c>
      <c r="D3" t="s">
        <v>1201</v>
      </c>
      <c r="E3">
        <v>1</v>
      </c>
      <c r="F3" t="s">
        <v>319</v>
      </c>
      <c r="G3" t="s">
        <v>1199</v>
      </c>
      <c r="I3" t="s">
        <v>319</v>
      </c>
      <c r="J3" t="s">
        <v>320</v>
      </c>
    </row>
    <row r="4" spans="1:14" x14ac:dyDescent="0.2">
      <c r="A4" t="s">
        <v>1097</v>
      </c>
      <c r="C4" t="s">
        <v>343</v>
      </c>
      <c r="D4" t="s">
        <v>1202</v>
      </c>
      <c r="E4">
        <v>1</v>
      </c>
      <c r="F4" t="s">
        <v>319</v>
      </c>
      <c r="G4" t="s">
        <v>1199</v>
      </c>
      <c r="I4" t="s">
        <v>321</v>
      </c>
      <c r="J4" t="s">
        <v>322</v>
      </c>
    </row>
    <row r="5" spans="1:14" x14ac:dyDescent="0.2">
      <c r="A5" t="s">
        <v>1052</v>
      </c>
      <c r="C5" t="s">
        <v>345</v>
      </c>
      <c r="D5" t="s">
        <v>1203</v>
      </c>
      <c r="E5">
        <v>1</v>
      </c>
      <c r="F5" t="s">
        <v>319</v>
      </c>
      <c r="G5" t="s">
        <v>1199</v>
      </c>
      <c r="I5" t="s">
        <v>323</v>
      </c>
      <c r="J5" t="s">
        <v>324</v>
      </c>
    </row>
    <row r="6" spans="1:14" x14ac:dyDescent="0.2">
      <c r="A6" t="s">
        <v>1204</v>
      </c>
      <c r="C6" t="s">
        <v>347</v>
      </c>
      <c r="D6" t="s">
        <v>1205</v>
      </c>
      <c r="E6">
        <v>1</v>
      </c>
      <c r="F6" t="s">
        <v>319</v>
      </c>
      <c r="G6" t="s">
        <v>1199</v>
      </c>
      <c r="I6" t="s">
        <v>325</v>
      </c>
      <c r="J6" t="s">
        <v>1206</v>
      </c>
    </row>
    <row r="7" spans="1:14" x14ac:dyDescent="0.2">
      <c r="A7" t="s">
        <v>1207</v>
      </c>
      <c r="C7" t="s">
        <v>349</v>
      </c>
      <c r="D7" t="s">
        <v>1208</v>
      </c>
      <c r="E7">
        <v>2</v>
      </c>
      <c r="F7" t="s">
        <v>321</v>
      </c>
      <c r="G7" t="s">
        <v>1209</v>
      </c>
    </row>
    <row r="8" spans="1:14" x14ac:dyDescent="0.2">
      <c r="A8" t="s">
        <v>1061</v>
      </c>
      <c r="C8" t="s">
        <v>351</v>
      </c>
      <c r="D8" t="s">
        <v>1210</v>
      </c>
      <c r="E8">
        <v>3</v>
      </c>
      <c r="F8" t="s">
        <v>321</v>
      </c>
      <c r="G8" t="s">
        <v>1211</v>
      </c>
    </row>
    <row r="9" spans="1:14" x14ac:dyDescent="0.2">
      <c r="A9" t="s">
        <v>1212</v>
      </c>
      <c r="C9" t="s">
        <v>353</v>
      </c>
      <c r="D9" t="s">
        <v>1213</v>
      </c>
      <c r="E9">
        <v>3</v>
      </c>
      <c r="F9" t="s">
        <v>321</v>
      </c>
      <c r="G9" t="s">
        <v>1214</v>
      </c>
    </row>
    <row r="10" spans="1:14" x14ac:dyDescent="0.2">
      <c r="A10" t="s">
        <v>1136</v>
      </c>
      <c r="C10" t="s">
        <v>355</v>
      </c>
      <c r="D10" t="s">
        <v>1215</v>
      </c>
      <c r="E10">
        <v>4</v>
      </c>
      <c r="F10" t="s">
        <v>321</v>
      </c>
      <c r="G10" t="s">
        <v>1216</v>
      </c>
    </row>
    <row r="11" spans="1:14" x14ac:dyDescent="0.2">
      <c r="A11" t="s">
        <v>1138</v>
      </c>
      <c r="C11" t="s">
        <v>356</v>
      </c>
      <c r="D11" t="s">
        <v>1217</v>
      </c>
      <c r="E11">
        <v>4</v>
      </c>
      <c r="F11" t="s">
        <v>317</v>
      </c>
      <c r="G11" t="s">
        <v>1216</v>
      </c>
    </row>
    <row r="12" spans="1:14" x14ac:dyDescent="0.2">
      <c r="A12" t="s">
        <v>1099</v>
      </c>
      <c r="C12" t="s">
        <v>358</v>
      </c>
      <c r="D12" t="s">
        <v>1218</v>
      </c>
      <c r="E12">
        <v>4</v>
      </c>
      <c r="F12" t="s">
        <v>317</v>
      </c>
      <c r="G12" t="s">
        <v>1216</v>
      </c>
    </row>
    <row r="13" spans="1:14" x14ac:dyDescent="0.2">
      <c r="A13" t="s">
        <v>1140</v>
      </c>
      <c r="C13" t="s">
        <v>360</v>
      </c>
      <c r="D13" t="s">
        <v>1219</v>
      </c>
      <c r="E13">
        <v>4</v>
      </c>
      <c r="F13" t="s">
        <v>325</v>
      </c>
      <c r="G13" t="s">
        <v>1216</v>
      </c>
    </row>
    <row r="14" spans="1:14" x14ac:dyDescent="0.2">
      <c r="A14" t="s">
        <v>1034</v>
      </c>
      <c r="C14" t="s">
        <v>362</v>
      </c>
      <c r="D14" t="s">
        <v>1220</v>
      </c>
      <c r="E14">
        <v>4</v>
      </c>
      <c r="F14" t="s">
        <v>321</v>
      </c>
      <c r="G14" t="s">
        <v>1216</v>
      </c>
    </row>
    <row r="15" spans="1:14" x14ac:dyDescent="0.2">
      <c r="A15" t="s">
        <v>1036</v>
      </c>
      <c r="C15" t="s">
        <v>364</v>
      </c>
    </row>
    <row r="16" spans="1:14" x14ac:dyDescent="0.2">
      <c r="A16" t="s">
        <v>1101</v>
      </c>
      <c r="C16" t="s">
        <v>365</v>
      </c>
    </row>
    <row r="17" spans="1:3" x14ac:dyDescent="0.2">
      <c r="A17" t="s">
        <v>1063</v>
      </c>
      <c r="C17" t="s">
        <v>366</v>
      </c>
    </row>
    <row r="18" spans="1:3" x14ac:dyDescent="0.2">
      <c r="A18" t="s">
        <v>1103</v>
      </c>
      <c r="C18" t="s">
        <v>367</v>
      </c>
    </row>
    <row r="19" spans="1:3" x14ac:dyDescent="0.2">
      <c r="A19" t="s">
        <v>1105</v>
      </c>
      <c r="C19" t="s">
        <v>368</v>
      </c>
    </row>
    <row r="20" spans="1:3" x14ac:dyDescent="0.2">
      <c r="A20" t="s">
        <v>1142</v>
      </c>
      <c r="C20" t="s">
        <v>1221</v>
      </c>
    </row>
    <row r="21" spans="1:3" x14ac:dyDescent="0.2">
      <c r="A21" t="s">
        <v>1222</v>
      </c>
      <c r="C21" t="s">
        <v>1223</v>
      </c>
    </row>
    <row r="22" spans="1:3" x14ac:dyDescent="0.2">
      <c r="A22" t="s">
        <v>1224</v>
      </c>
      <c r="C22" t="s">
        <v>1225</v>
      </c>
    </row>
    <row r="23" spans="1:3" x14ac:dyDescent="0.2">
      <c r="A23" t="s">
        <v>1144</v>
      </c>
      <c r="C23" t="s">
        <v>1226</v>
      </c>
    </row>
    <row r="24" spans="1:3" x14ac:dyDescent="0.2">
      <c r="A24" t="s">
        <v>1227</v>
      </c>
      <c r="C24" t="s">
        <v>1228</v>
      </c>
    </row>
    <row r="25" spans="1:3" x14ac:dyDescent="0.2">
      <c r="A25" t="s">
        <v>1146</v>
      </c>
      <c r="C25" t="s">
        <v>1229</v>
      </c>
    </row>
    <row r="26" spans="1:3" x14ac:dyDescent="0.2">
      <c r="A26" t="s">
        <v>1107</v>
      </c>
      <c r="C26" t="s">
        <v>1230</v>
      </c>
    </row>
    <row r="27" spans="1:3" x14ac:dyDescent="0.2">
      <c r="A27" t="s">
        <v>1048</v>
      </c>
      <c r="C27" t="s">
        <v>1231</v>
      </c>
    </row>
    <row r="28" spans="1:3" x14ac:dyDescent="0.2">
      <c r="A28" t="s">
        <v>1067</v>
      </c>
    </row>
    <row r="29" spans="1:3" x14ac:dyDescent="0.2">
      <c r="A29" t="s">
        <v>1069</v>
      </c>
    </row>
    <row r="30" spans="1:3" x14ac:dyDescent="0.2">
      <c r="A30" t="s">
        <v>1148</v>
      </c>
    </row>
    <row r="31" spans="1:3" x14ac:dyDescent="0.2">
      <c r="A31" t="s">
        <v>1109</v>
      </c>
    </row>
    <row r="32" spans="1:3" x14ac:dyDescent="0.2">
      <c r="A32" t="s">
        <v>1150</v>
      </c>
    </row>
    <row r="33" spans="1:1" x14ac:dyDescent="0.2">
      <c r="A33" t="s">
        <v>1073</v>
      </c>
    </row>
    <row r="34" spans="1:1" x14ac:dyDescent="0.2">
      <c r="A34" t="s">
        <v>1152</v>
      </c>
    </row>
    <row r="35" spans="1:1" x14ac:dyDescent="0.2">
      <c r="A35" t="s">
        <v>1172</v>
      </c>
    </row>
    <row r="36" spans="1:1" x14ac:dyDescent="0.2">
      <c r="A36" t="s">
        <v>1075</v>
      </c>
    </row>
    <row r="37" spans="1:1" x14ac:dyDescent="0.2">
      <c r="A37" t="s">
        <v>1154</v>
      </c>
    </row>
    <row r="38" spans="1:1" x14ac:dyDescent="0.2">
      <c r="A38" t="s">
        <v>1232</v>
      </c>
    </row>
    <row r="39" spans="1:1" x14ac:dyDescent="0.2">
      <c r="A39" t="s">
        <v>1156</v>
      </c>
    </row>
    <row r="40" spans="1:1" x14ac:dyDescent="0.2">
      <c r="A40" t="s">
        <v>1190</v>
      </c>
    </row>
    <row r="41" spans="1:1" x14ac:dyDescent="0.2">
      <c r="A41" t="s">
        <v>1050</v>
      </c>
    </row>
    <row r="42" spans="1:1" x14ac:dyDescent="0.2">
      <c r="A42" t="s">
        <v>1113</v>
      </c>
    </row>
    <row r="43" spans="1:1" x14ac:dyDescent="0.2">
      <c r="A43" t="s">
        <v>1233</v>
      </c>
    </row>
    <row r="44" spans="1:1" x14ac:dyDescent="0.2">
      <c r="A44" t="s">
        <v>1234</v>
      </c>
    </row>
    <row r="45" spans="1:1" x14ac:dyDescent="0.2">
      <c r="A45" t="s">
        <v>1235</v>
      </c>
    </row>
    <row r="46" spans="1:1" x14ac:dyDescent="0.2">
      <c r="A46" t="s">
        <v>1158</v>
      </c>
    </row>
    <row r="47" spans="1:1" x14ac:dyDescent="0.2">
      <c r="A47" t="s">
        <v>1077</v>
      </c>
    </row>
    <row r="48" spans="1:1" x14ac:dyDescent="0.2">
      <c r="A48" t="s">
        <v>1117</v>
      </c>
    </row>
    <row r="49" spans="1:1" x14ac:dyDescent="0.2">
      <c r="A49" t="s">
        <v>1115</v>
      </c>
    </row>
    <row r="50" spans="1:1" x14ac:dyDescent="0.2">
      <c r="A50" t="s">
        <v>1192</v>
      </c>
    </row>
    <row r="51" spans="1:1" x14ac:dyDescent="0.2">
      <c r="A51" t="s">
        <v>1160</v>
      </c>
    </row>
    <row r="52" spans="1:1" x14ac:dyDescent="0.2">
      <c r="A52" t="s">
        <v>1079</v>
      </c>
    </row>
    <row r="53" spans="1:1" x14ac:dyDescent="0.2">
      <c r="A53" t="s">
        <v>1236</v>
      </c>
    </row>
    <row r="54" spans="1:1" x14ac:dyDescent="0.2">
      <c r="A54" t="s">
        <v>1162</v>
      </c>
    </row>
    <row r="55" spans="1:1" x14ac:dyDescent="0.2">
      <c r="A55" t="s">
        <v>1237</v>
      </c>
    </row>
    <row r="56" spans="1:1" x14ac:dyDescent="0.2">
      <c r="A56" t="s">
        <v>1083</v>
      </c>
    </row>
    <row r="57" spans="1:1" x14ac:dyDescent="0.2">
      <c r="A57" t="s">
        <v>1238</v>
      </c>
    </row>
    <row r="58" spans="1:1" x14ac:dyDescent="0.2">
      <c r="A58" t="s">
        <v>1188</v>
      </c>
    </row>
    <row r="59" spans="1:1" x14ac:dyDescent="0.2">
      <c r="A59" t="s">
        <v>1239</v>
      </c>
    </row>
    <row r="60" spans="1:1" x14ac:dyDescent="0.2">
      <c r="A60" t="s">
        <v>1164</v>
      </c>
    </row>
    <row r="61" spans="1:1" x14ac:dyDescent="0.2">
      <c r="A61" t="s">
        <v>1240</v>
      </c>
    </row>
    <row r="62" spans="1:1" x14ac:dyDescent="0.2">
      <c r="A62" t="s">
        <v>1166</v>
      </c>
    </row>
    <row r="63" spans="1:1" x14ac:dyDescent="0.2">
      <c r="A63" t="s">
        <v>1241</v>
      </c>
    </row>
    <row r="64" spans="1:1" x14ac:dyDescent="0.2">
      <c r="A64" t="s">
        <v>1085</v>
      </c>
    </row>
    <row r="65" spans="1:1" x14ac:dyDescent="0.2">
      <c r="A65" t="s">
        <v>1168</v>
      </c>
    </row>
    <row r="66" spans="1:1" x14ac:dyDescent="0.2">
      <c r="A66" t="s">
        <v>1120</v>
      </c>
    </row>
    <row r="67" spans="1:1" x14ac:dyDescent="0.2">
      <c r="A67" t="s">
        <v>1242</v>
      </c>
    </row>
    <row r="68" spans="1:1" x14ac:dyDescent="0.2">
      <c r="A68" t="s">
        <v>1170</v>
      </c>
    </row>
    <row r="69" spans="1:1" x14ac:dyDescent="0.2">
      <c r="A69" t="s">
        <v>1243</v>
      </c>
    </row>
    <row r="70" spans="1:1" x14ac:dyDescent="0.2">
      <c r="A70" t="s">
        <v>1244</v>
      </c>
    </row>
    <row r="71" spans="1:1" x14ac:dyDescent="0.2">
      <c r="A71" t="s">
        <v>1044</v>
      </c>
    </row>
    <row r="72" spans="1:1" x14ac:dyDescent="0.2">
      <c r="A72" t="s">
        <v>1087</v>
      </c>
    </row>
    <row r="73" spans="1:1" x14ac:dyDescent="0.2">
      <c r="A73" t="s">
        <v>1245</v>
      </c>
    </row>
    <row r="74" spans="1:1" x14ac:dyDescent="0.2">
      <c r="A74" t="s">
        <v>1089</v>
      </c>
    </row>
    <row r="75" spans="1:1" x14ac:dyDescent="0.2">
      <c r="A75" t="s">
        <v>1091</v>
      </c>
    </row>
    <row r="76" spans="1:1" x14ac:dyDescent="0.2">
      <c r="A76" t="s">
        <v>1122</v>
      </c>
    </row>
    <row r="77" spans="1:1" x14ac:dyDescent="0.2">
      <c r="A77" t="s">
        <v>1124</v>
      </c>
    </row>
    <row r="78" spans="1:1" x14ac:dyDescent="0.2">
      <c r="A78" t="s">
        <v>1246</v>
      </c>
    </row>
    <row r="79" spans="1:1" x14ac:dyDescent="0.2">
      <c r="A79" t="s">
        <v>1247</v>
      </c>
    </row>
    <row r="80" spans="1:1" x14ac:dyDescent="0.2">
      <c r="A80" t="s">
        <v>1126</v>
      </c>
    </row>
    <row r="81" spans="1:1" x14ac:dyDescent="0.2">
      <c r="A81" t="s">
        <v>1128</v>
      </c>
    </row>
    <row r="82" spans="1:1" x14ac:dyDescent="0.2">
      <c r="A82" t="s">
        <v>1186</v>
      </c>
    </row>
    <row r="83" spans="1:1" x14ac:dyDescent="0.2">
      <c r="A83" t="s">
        <v>1248</v>
      </c>
    </row>
    <row r="84" spans="1:1" x14ac:dyDescent="0.2">
      <c r="A84" t="s">
        <v>1174</v>
      </c>
    </row>
    <row r="85" spans="1:1" x14ac:dyDescent="0.2">
      <c r="A85" t="s">
        <v>1046</v>
      </c>
    </row>
    <row r="86" spans="1:1" x14ac:dyDescent="0.2">
      <c r="A86" t="s">
        <v>1057</v>
      </c>
    </row>
    <row r="87" spans="1:1" x14ac:dyDescent="0.2">
      <c r="A87" t="s">
        <v>1176</v>
      </c>
    </row>
    <row r="88" spans="1:1" x14ac:dyDescent="0.2">
      <c r="A88" t="s">
        <v>1130</v>
      </c>
    </row>
    <row r="89" spans="1:1" x14ac:dyDescent="0.2">
      <c r="A89" t="s">
        <v>1081</v>
      </c>
    </row>
    <row r="90" spans="1:1" x14ac:dyDescent="0.2">
      <c r="A90" t="s">
        <v>1093</v>
      </c>
    </row>
    <row r="91" spans="1:1" x14ac:dyDescent="0.2">
      <c r="A91" t="s">
        <v>1132</v>
      </c>
    </row>
    <row r="92" spans="1:1" x14ac:dyDescent="0.2">
      <c r="A92" t="s">
        <v>1178</v>
      </c>
    </row>
    <row r="93" spans="1:1" x14ac:dyDescent="0.2">
      <c r="A93" t="s">
        <v>1249</v>
      </c>
    </row>
    <row r="94" spans="1:1" x14ac:dyDescent="0.2">
      <c r="A94" t="s">
        <v>1180</v>
      </c>
    </row>
    <row r="95" spans="1:1" x14ac:dyDescent="0.2">
      <c r="A95" t="s">
        <v>1095</v>
      </c>
    </row>
    <row r="96" spans="1:1" x14ac:dyDescent="0.2">
      <c r="A96" t="s">
        <v>1182</v>
      </c>
    </row>
    <row r="97" spans="1:1" x14ac:dyDescent="0.2">
      <c r="A97" t="s">
        <v>1038</v>
      </c>
    </row>
    <row r="98" spans="1:1" x14ac:dyDescent="0.2">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Slovenský curlingový zväz, Zahradnícka 27, Bratislava, 811 07</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1250</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1251</v>
      </c>
      <c r="N5" s="137" t="str">
        <f t="shared" si="0"/>
        <v>e - rozvoj športov, ktoré nie sú uznanými podľa zákona č. 440/2015 Z. z.</v>
      </c>
      <c r="O5" s="137" t="s">
        <v>347</v>
      </c>
      <c r="P5" s="137" t="s">
        <v>352</v>
      </c>
    </row>
    <row r="6" spans="1:16" ht="30" x14ac:dyDescent="0.2">
      <c r="C6" s="138" t="s">
        <v>1252</v>
      </c>
      <c r="E6" s="140" t="s">
        <v>1253</v>
      </c>
      <c r="F6" s="149"/>
      <c r="N6" s="137" t="str">
        <f t="shared" si="0"/>
        <v>f - organizovanie významných a tradičných športových podujatí na území SR v roku 2020</v>
      </c>
      <c r="O6" s="137" t="s">
        <v>349</v>
      </c>
      <c r="P6" s="137" t="s">
        <v>1254</v>
      </c>
    </row>
    <row r="7" spans="1:16" x14ac:dyDescent="0.2">
      <c r="C7" s="138" t="s">
        <v>1255</v>
      </c>
      <c r="E7" s="140" t="s">
        <v>1256</v>
      </c>
      <c r="F7" s="150"/>
      <c r="N7" s="137" t="str">
        <f t="shared" si="0"/>
        <v>g - projekty školského, univerzitného športu a športu pre všetkých</v>
      </c>
      <c r="O7" s="137" t="s">
        <v>351</v>
      </c>
      <c r="P7" s="137" t="s">
        <v>1257</v>
      </c>
    </row>
    <row r="8" spans="1:16" x14ac:dyDescent="0.2">
      <c r="C8" s="138" t="s">
        <v>1668</v>
      </c>
      <c r="E8" s="140" t="s">
        <v>1258</v>
      </c>
      <c r="F8" s="151"/>
      <c r="N8" s="137" t="str">
        <f t="shared" si="0"/>
        <v>h - podpora a rozvoj turistických a cykloturistických trás</v>
      </c>
      <c r="O8" s="137" t="s">
        <v>353</v>
      </c>
      <c r="P8" s="137" t="s">
        <v>354</v>
      </c>
    </row>
    <row r="9" spans="1:16" x14ac:dyDescent="0.2">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
      <c r="N10" s="137" t="str">
        <f t="shared" si="0"/>
        <v>j - projekty pre popularizáciu pohybových aktivít detí, mládeže a seniorov</v>
      </c>
      <c r="O10" s="137" t="s">
        <v>356</v>
      </c>
      <c r="P10" s="137" t="s">
        <v>1261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1263</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25">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
      <c r="A17" s="139" t="s">
        <v>1271</v>
      </c>
      <c r="B17" s="254" t="s">
        <v>1272</v>
      </c>
      <c r="C17" s="194"/>
      <c r="E17" s="147"/>
      <c r="F17" s="282"/>
      <c r="N17" s="137" t="str">
        <f t="shared" si="0"/>
        <v xml:space="preserve">q - </v>
      </c>
      <c r="O17" s="137" t="s">
        <v>367</v>
      </c>
    </row>
    <row r="18" spans="1:16" x14ac:dyDescent="0.2">
      <c r="B18" s="193" t="s">
        <v>1273</v>
      </c>
      <c r="C18" s="142" t="str">
        <f>Spolu!C4</f>
        <v>37841866</v>
      </c>
      <c r="E18" s="147" t="s">
        <v>1274</v>
      </c>
      <c r="F18" s="282">
        <v>421947749446</v>
      </c>
      <c r="N18" s="137" t="str">
        <f t="shared" si="0"/>
        <v xml:space="preserve">r - </v>
      </c>
      <c r="O18" s="137" t="s">
        <v>368</v>
      </c>
    </row>
    <row r="19" spans="1:16" x14ac:dyDescent="0.2">
      <c r="E19" s="147" t="s">
        <v>1275</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1276</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1277</v>
      </c>
    </row>
    <row r="29" spans="1:16" x14ac:dyDescent="0.2">
      <c r="N29" s="137" t="s">
        <v>1278</v>
      </c>
    </row>
    <row r="30" spans="1:16" x14ac:dyDescent="0.2">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2025-01-23T13:30:36Z</cp:lastPrinted>
  <dcterms:created xsi:type="dcterms:W3CDTF">2017-02-20T06:20:12Z</dcterms:created>
  <dcterms:modified xsi:type="dcterms:W3CDTF">2026-04-15T13:36:33Z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