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3_ncr:1_{6E46BE71-F431-443C-9AAB-06F65D9EA249}" xr6:coauthVersionLast="47" xr6:coauthVersionMax="47" xr10:uidLastSave="{EE75DA65-A0B7-4F1D-AFC4-0723549AF5B5}"/>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Doklady!$A$100:$J$188</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<sst xmlns="http://schemas.openxmlformats.org/spreadsheetml/2006/main" count="5289" uniqueCount="2469">
  <si>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</si>
  <si>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</si>
  <si>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</si>
  <si>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</si>
  <si>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</si>
  <si>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</si>
  <si>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</si>
  <si>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</si>
  <si>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</si>
  <si>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</si>
  <si>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</si>
  <si>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</si>
  <si>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</si>
  <si>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</si>
  <si>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</si>
  <si>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</si>
  <si>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</si>
  <si>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</si>
  <si>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</si>
  <si>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</si>
  <si>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</si>
  <si>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</si>
  <si>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</si>
  <si>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</si>
  <si>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</si>
  <si>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</si>
  <si>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</si>
  <si>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</si>
  <si>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</si>
  <si>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</si>
  <si>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</si>
  <si>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</si>
  <si>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</si>
  <si>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</si>
  <si>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</si>
  <si>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</si>
  <si>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</si>
  <si>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</si>
  <si>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</si>
  <si>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</si>
  <si>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</si>
  <si>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</si>
  <si>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</si>
  <si>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</si>
  <si>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</si>
  <si>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</si>
  <si>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</si>
  <si>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</si>
  <si>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</si>
  <si>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</si>
  <si>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</si>
  <si>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</si>
  <si>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</si>
  <si>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</si>
  <si>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</si>
  <si>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</si>
  <si>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</si>
  <si>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</si>
  <si>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</si>
  <si>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</si>
  <si>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</si>
  <si>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</si>
  <si>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</si>
  <si>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</si>
  <si>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</si>
  <si>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</si>
  <si>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</si>
  <si>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</si>
  <si>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</si>
  <si>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</si>
  <si>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</si>
  <si>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</si>
  <si>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</si>
  <si>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</si>
  <si>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</si>
  <si>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</si>
  <si>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</si>
  <si>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</si>
  <si>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</si>
  <si>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</si>
  <si>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</si>
  <si>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</si>
  <si>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</si>
  <si>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</si>
  <si>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</si>
  <si>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</si>
  <si>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</si>
  <si>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</si>
  <si>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</si>
  <si>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</si>
  <si>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</si>
  <si>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</si>
  <si>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</si>
  <si>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</si>
  <si>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</si>
  <si>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</si>
  <si>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</si>
  <si>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</si>
  <si>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</si>
  <si>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</si>
  <si>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</si>
  <si>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</si>
  <si>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</si>
  <si>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</si>
  <si>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</si>
  <si>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</si>
  <si>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</si>
  <si>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</si>
  <si>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</si>
  <si>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</si>
  <si>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</si>
  <si>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</si>
  <si>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</si>
  <si>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</si>
  <si>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</si>
  <si>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</si>
  <si>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</si>
  <si>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</si>
  <si>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</si>
  <si>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</si>
  <si>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</si>
  <si>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</si>
  <si>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</si>
  <si>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</si>
  <si>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</si>
  <si>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</si>
  <si>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</si>
  <si>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</si>
  <si>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</si>
  <si>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</si>
  <si>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</si>
  <si>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</si>
  <si>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</si>
  <si>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</si>
  <si>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</si>
  <si>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</si>
  <si>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</si>
  <si>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</si>
  <si>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</si>
  <si>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</si>
  <si>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</si>
  <si>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</si>
  <si>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</si>
  <si>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</si>
  <si>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</si>
  <si>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</si>
  <si>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</si>
  <si>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</si>
  <si>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</si>
  <si>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</si>
  <si>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</si>
  <si>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</si>
  <si>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</si>
  <si>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</si>
  <si>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</si>
  <si>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</si>
  <si>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</si>
  <si>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</si>
  <si>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</si>
  <si>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</si>
  <si>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</si>
  <si>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</si>
  <si>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</si>
  <si>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</si>
  <si>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</si>
  <si>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</si>
  <si>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</si>
  <si>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</si>
  <si>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</si>
  <si>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</si>
  <si>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</si>
  <si>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</si>
  <si>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</si>
  <si>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</si>
  <si>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</si>
  <si>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</si>
  <si>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</si>
  <si>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</si>
  <si>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</si>
  <si>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</si>
  <si>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</si>
  <si>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</si>
  <si>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</si>
  <si>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</si>
  <si>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</si>
  <si>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</si>
  <si>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</si>
  <si>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</si>
  <si>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</si>
  <si>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</si>
  <si>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</si>
  <si>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</si>
  <si>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</si>
  <si>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</si>
  <si>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</si>
  <si>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</si>
  <si>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</si>
  <si>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</si>
  <si>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</si>
  <si>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</si>
  <si>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</si>
  <si>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</si>
  <si>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</si>
  <si>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</si>
  <si>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</si>
  <si>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</si>
  <si>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</si>
  <si>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</si>
  <si>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</si>
  <si>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</si>
  <si>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</si>
  <si>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</si>
  <si>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</si>
  <si>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</si>
  <si>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</si>
  <si>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</si>
  <si>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</si>
  <si>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</si>
  <si>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</si>
  <si>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</si>
  <si>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</si>
  <si>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</si>
  <si>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</si>
  <si>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</si>
  <si>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</si>
  <si>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</si>
  <si>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</si>
  <si>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</si>
  <si>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</si>
  <si>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</si>
  <si>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</si>
  <si>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</si>
  <si>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</si>
  <si>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</si>
  <si>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</si>
  <si>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</si>
  <si>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</si>
  <si>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</si>
  <si>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</si>
  <si>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</si>
  <si>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</si>
  <si>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</si>
  <si>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</si>
  <si>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</si>
  <si>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</si>
  <si>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</si>
  <si>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</si>
  <si>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</si>
  <si>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</si>
  <si>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</si>
  <si>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</si>
  <si>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</si>
  <si>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</si>
  <si>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</si>
  <si>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</si>
  <si>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</si>
  <si>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</si>
  <si>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</si>
  <si>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</si>
  <si>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</si>
  <si>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</si>
  <si>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</si>
  <si>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</si>
  <si>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</si>
  <si>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</si>
  <si>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</si>
  <si>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</si>
  <si>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</si>
  <si>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</si>
  <si>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</si>
  <si>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</si>
  <si>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</si>
  <si>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</si>
  <si>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</si>
  <si>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</si>
  <si>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</si>
  <si>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</si>
  <si>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</si>
  <si>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</si>
  <si>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</si>
  <si>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</si>
  <si>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</si>
  <si>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</si>
  <si>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</si>
  <si>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</si>
  <si>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</si>
  <si>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</si>
  <si>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</si>
  <si>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</si>
  <si>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</si>
  <si>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</si>
  <si>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</si>
  <si>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</si>
  <si>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</si>
  <si>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</si>
  <si>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</si>
  <si>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</si>
  <si>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</si>
  <si>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</si>
  <si>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</si>
  <si>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</si>
  <si>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</si>
  <si>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</si>
  <si>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</si>
  <si>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</si>
  <si>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</si>
  <si>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</si>
  <si>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</si>
  <si>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</si>
  <si>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</si>
  <si>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</si>
  <si>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</si>
  <si>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</si>
  <si>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</si>
  <si>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</si>
  <si>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</si>
  <si>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</si>
  <si>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</si>
  <si>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</si>
  <si>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</si>
  <si>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</si>
  <si>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</si>
  <si>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</si>
  <si>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</si>
  <si>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</si>
  <si>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</si>
  <si>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</si>
  <si>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</si>
  <si>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</si>
  <si>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</si>
  <si>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</si>
  <si>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</si>
  <si>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</si>
  <si>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</si>
  <si>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</si>
  <si>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</si>
  <si>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</si>
  <si>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</si>
  <si>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</si>
  <si>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</si>
  <si>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</si>
  <si>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</si>
  <si>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</si>
  <si>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</si>
  <si>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</si>
  <si>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</si>
  <si>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</si>
  <si>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</si>
  <si>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</si>
  <si>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</si>
  <si>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</si>
  <si>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</si>
  <si>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</si>
  <si>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</si>
  <si>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</si>
  <si>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</si>
  <si>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</si>
  <si>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</si>
  <si>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</si>
  <si>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</si>
  <si>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</si>
  <si>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</si>
  <si>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</si>
  <si>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</si>
  <si>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</si>
  <si>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</si>
  <si>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</si>
  <si>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</si>
  <si>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</si>
  <si>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</si>
  <si>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</si>
  <si>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</si>
  <si>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</si>
  <si>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</si>
  <si>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</si>
  <si>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</si>
  <si>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</si>
  <si>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</si>
  <si>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</si>
  <si>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</si>
  <si>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</si>
  <si>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</si>
  <si>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</si>
  <si>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</si>
  <si>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</si>
  <si>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</si>
  <si>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</si>
  <si>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</si>
  <si>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</si>
  <si>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</si>
  <si>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</si>
  <si>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</si>
  <si>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</si>
  <si>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</si>
  <si>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</si>
  <si>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</si>
  <si>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</si>
  <si>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</si>
  <si>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</si>
  <si>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</si>
  <si>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</si>
  <si>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</si>
  <si>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</si>
  <si>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</si>
  <si>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</si>
  <si>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</si>
  <si>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</si>
  <si>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</si>
  <si>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</si>
  <si>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</si>
  <si>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</si>
  <si>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</si>
  <si>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</si>
  <si>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</si>
  <si>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</si>
  <si>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</si>
  <si>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</si>
  <si>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</si>
  <si>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</si>
  <si>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</si>
  <si>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</si>
  <si>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</si>
  <si>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</si>
  <si>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</si>
  <si>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</si>
  <si>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</si>
  <si>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</si>
  <si>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</si>
  <si>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</si>
  <si>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</si>
  <si>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</si>
  <si>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</si>
  <si>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</si>
  <si>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</si>
  <si>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</si>
  <si>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</si>
  <si>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</si>
  <si>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</si>
  <si>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</si>
  <si>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</si>
  <si>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</si>
  <si>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</si>
  <si>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</si>
  <si>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</si>
  <si>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</si>
  <si>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</si>
  <si>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</si>
  <si>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</si>
  <si>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</si>
  <si>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</si>
  <si>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</si>
  <si>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</si>
  <si>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</si>
  <si>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</si>
  <si>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</si>
  <si>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</si>
  <si>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</si>
  <si>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</si>
  <si>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</si>
  <si>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</si>
  <si>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</si>
  <si>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</si>
  <si>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</si>
  <si>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</si>
  <si>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</si>
  <si>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</si>
  <si>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</si>
  <si>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</si>
  <si>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</si>
  <si>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</si>
  <si>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</si>
  <si>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</si>
  <si>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</si>
  <si>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</si>
  <si>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</si>
  <si>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</si>
  <si>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</si>
  <si>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</si>
  <si>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</si>
  <si>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</si>
  <si>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</si>
  <si>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</si>
  <si>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</si>
  <si>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</si>
  <si>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</si>
  <si>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</si>
  <si>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</si>
  <si>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</si>
  <si>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</si>
  <si>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</si>
  <si>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</si>
  <si>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</si>
  <si>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</si>
  <si>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</si>
  <si>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</si>
  <si>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</si>
  <si>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</si>
  <si>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</si>
  <si>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</si>
  <si>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</si>
  <si>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</si>
  <si>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</si>
  <si>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</si>
  <si>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</si>
  <si>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</si>
  <si>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</si>
  <si>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</si>
  <si>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</si>
  <si>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</si>
  <si>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</si>
  <si>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</si>
  <si>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</si>
  <si>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</si>
  <si>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</si>
  <si>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</si>
  <si>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</si>
  <si>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</si>
  <si>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</si>
  <si>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</si>
  <si>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</si>
  <si>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</si>
  <si>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</si>
  <si>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</si>
  <si>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</si>
  <si>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</si>
  <si>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</si>
  <si>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</si>
  <si>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</si>
  <si>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</si>
  <si>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</si>
  <si>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</si>
  <si>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</si>
  <si>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</si>
  <si>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</si>
  <si>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</si>
  <si>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</si>
  <si>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</si>
  <si>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</si>
  <si>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</si>
  <si>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</si>
  <si>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</si>
  <si>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</si>
  <si>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</si>
  <si>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</si>
  <si>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</si>
  <si>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</si>
  <si>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</si>
  <si>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</si>
  <si>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</si>
  <si>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</si>
  <si>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</si>
  <si>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</si>
  <si>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</si>
  <si>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</si>
  <si>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</si>
  <si>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</si>
  <si>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</si>
  <si>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</si>
  <si>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</si>
  <si>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</si>
  <si>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</si>
  <si>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</si>
  <si>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</si>
  <si>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</si>
  <si>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</si>
  <si>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</si>
  <si>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</si>
  <si>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</si>
  <si>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</si>
  <si>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</si>
  <si>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</si>
  <si>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</si>
  <si>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</si>
  <si>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</si>
  <si>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</si>
  <si>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</si>
  <si>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</si>
  <si>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</si>
  <si>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</si>
  <si>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</si>
  <si>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</si>
  <si>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</si>
  <si>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</si>
  <si>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</si>
  <si>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</si>
  <si>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</si>
  <si>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</si>
  <si>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</si>
  <si>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</si>
  <si>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</si>
  <si>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</si>
  <si>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</si>
  <si>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</si>
  <si>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</si>
  <si>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</si>
  <si>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</si>
  <si>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</si>
  <si>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</si>
  <si>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</si>
  <si>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</si>
  <si>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</si>
  <si>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</si>
  <si>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</si>
  <si>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</si>
  <si>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</si>
  <si>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</si>
  <si>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</si>
  <si>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</si>
  <si>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</si>
  <si>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</si>
  <si>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</si>
  <si>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</si>
  <si>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</si>
  <si>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</si>
  <si>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</si>
  <si>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</si>
  <si>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</si>
  <si>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</si>
  <si>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</si>
  <si>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</si>
  <si>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</si>
  <si>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</si>
  <si>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</si>
  <si>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</si>
  <si>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</si>
  <si>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</si>
  <si>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</si>
  <si>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</si>
  <si>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</si>
  <si>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</si>
  <si>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</si>
  <si>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</si>
  <si>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</si>
  <si>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</si>
  <si>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</si>
  <si>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</si>
  <si>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</si>
  <si>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</si>
  <si>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</si>
  <si>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</si>
  <si>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</si>
  <si>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</si>
  <si>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</si>
  <si>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</si>
  <si>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</si>
  <si>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</si>
  <si>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</si>
  <si>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</si>
  <si>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</si>
  <si>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</si>
  <si>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</si>
  <si>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</si>
  <si>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</si>
  <si>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</si>
  <si>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</si>
  <si>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</si>
  <si>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</si>
  <si>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</si>
  <si>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</si>
  <si>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</si>
  <si>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</si>
  <si>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</si>
  <si>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</si>
  <si>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</si>
  <si>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</si>
  <si>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</si>
  <si>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</si>
  <si>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</si>
  <si>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</si>
  <si>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</si>
  <si>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</si>
  <si>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</si>
  <si>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</si>
  <si>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</si>
  <si>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</si>
  <si>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</si>
  <si>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</si>
  <si>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</si>
  <si>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</si>
  <si>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</si>
  <si>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</si>
  <si>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</si>
  <si>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</si>
  <si>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</si>
  <si>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</si>
  <si>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</si>
  <si>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</si>
  <si>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</si>
  <si>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</si>
  <si>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</si>
  <si>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</si>
  <si>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</si>
  <si>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</si>
  <si>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</si>
  <si>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</si>
  <si>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</si>
  <si>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</si>
  <si>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</si>
  <si>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</si>
  <si>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</si>
  <si>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</si>
  <si>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</si>
  <si>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</si>
  <si>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</si>
  <si>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</si>
  <si>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</si>
  <si>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</si>
  <si>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</si>
  <si>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</si>
  <si>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</si>
  <si>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</si>
  <si>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</si>
  <si>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</si>
  <si>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</si>
  <si>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</si>
  <si>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</si>
  <si>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</si>
  <si>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</si>
  <si>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</si>
  <si>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</si>
  <si>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</si>
  <si>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</si>
  <si>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</si>
  <si>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</si>
  <si>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</si>
  <si>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</si>
  <si>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</si>
  <si>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</si>
  <si>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</si>
  <si>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</si>
  <si>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</si>
  <si>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</si>
  <si>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</si>
  <si>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</si>
  <si>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</si>
  <si>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</si>
  <si>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</si>
  <si>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</si>
  <si>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</si>
  <si>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</si>
  <si>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</si>
  <si>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</si>
  <si>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</si>
  <si>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</si>
  <si>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</si>
  <si>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</si>
  <si>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</si>
  <si>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</si>
  <si>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</si>
  <si>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</si>
  <si>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</si>
  <si>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</si>
  <si>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</si>
  <si>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</si>
  <si>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</si>
  <si>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</si>
  <si>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</si>
  <si>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</si>
  <si>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</si>
  <si>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</si>
  <si>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</si>
  <si>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</si>
  <si>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</si>
  <si>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</si>
  <si>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</si>
  <si>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</si>
  <si>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</si>
  <si>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</si>
  <si>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</si>
  <si>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</si>
  <si>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</si>
  <si>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</si>
  <si>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</si>
  <si>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</si>
  <si>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</si>
  <si>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</si>
  <si>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</si>
  <si>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</si>
  <si>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</si>
  <si>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</si>
  <si>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</si>
  <si>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</si>
  <si>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</si>
  <si>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</si>
  <si>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</si>
  <si>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</si>
  <si>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</si>
  <si>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</si>
  <si>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</si>
  <si>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</si>
  <si>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</si>
  <si>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</si>
  <si>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</si>
  <si>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</si>
  <si>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</si>
  <si>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</si>
  <si>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</si>
  <si>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</si>
  <si>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</si>
  <si>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</si>
  <si>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</si>
  <si>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</si>
  <si>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</si>
  <si>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</si>
  <si>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</si>
  <si>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</si>
  <si>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</si>
  <si>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</si>
  <si>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</si>
  <si>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</si>
  <si>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</si>
  <si>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</si>
  <si>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</si>
  <si>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</si>
  <si>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</si>
  <si>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</si>
  <si>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</si>
  <si>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</si>
  <si>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</si>
  <si>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</si>
  <si>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</si>
  <si>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</si>
  <si>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</si>
  <si>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</si>
  <si>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</si>
  <si>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</si>
  <si>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</si>
  <si>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</si>
  <si>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</si>
  <si>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</si>
  <si>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</si>
  <si>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</si>
  <si>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</si>
  <si>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</si>
  <si>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</si>
  <si>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</si>
  <si>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</si>
  <si>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</si>
  <si>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</si>
  <si>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</si>
  <si>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</si>
  <si>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</si>
  <si>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</si>
  <si>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</si>
  <si>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</si>
  <si>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</si>
  <si>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</si>
  <si>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</si>
  <si>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</si>
  <si>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</si>
  <si>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</si>
  <si>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</si>
  <si>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</si>
  <si>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</si>
  <si>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</si>
  <si>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</si>
  <si>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</si>
  <si>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</si>
  <si>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</si>
  <si>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</si>
  <si>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</si>
  <si>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</si>
  <si>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</si>
  <si>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</si>
  <si>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</si>
  <si>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</si>
  <si>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</si>
  <si>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</si>
  <si>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</si>
  <si>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</si>
  <si>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</si>
  <si>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</si>
  <si>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</si>
  <si>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</si>
  <si>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</si>
  <si>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</si>
  <si>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</si>
  <si>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</si>
  <si>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</si>
  <si>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</si>
  <si>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</si>
  <si>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</si>
  <si>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</si>
  <si>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</si>
  <si>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</si>
  <si>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</si>
  <si>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</si>
  <si>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</si>
  <si>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</si>
  <si>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</si>
  <si>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</si>
  <si>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</si>
  <si>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</si>
  <si>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</si>
  <si>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</si>
  <si>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</si>
  <si>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</si>
  <si>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</si>
  <si>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</si>
  <si>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</si>
  <si>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</si>
  <si>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</si>
  <si>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</si>
  <si>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</si>
  <si>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</si>
  <si>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</si>
  <si>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</si>
  <si>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</si>
  <si>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</si>
  <si>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</si>
  <si>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</si>
  <si>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</si>
  <si>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</si>
  <si>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</si>
  <si>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</si>
  <si>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</si>
  <si>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</si>
  <si>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</si>
  <si>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</si>
  <si>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</si>
  <si>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</si>
  <si>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</si>
  <si>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</si>
  <si>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</si>
  <si>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</si>
  <si>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</si>
  <si>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</si>
  <si>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</si>
  <si>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</si>
  <si>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</si>
  <si>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</si>
  <si>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</si>
  <si>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</si>
  <si>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</si>
  <si>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</si>
  <si>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</si>
  <si>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</si>
  <si>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</si>
  <si>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</si>
  <si>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</si>
  <si>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</si>
  <si>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</si>
  <si>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</si>
  <si>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</si>
  <si>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</si>
  <si>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</si>
  <si>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</si>
  <si>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</si>
  <si>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</si>
  <si>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</si>
  <si>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</si>
  <si>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</si>
  <si>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</si>
  <si>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</si>
  <si>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</si>
  <si>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</si>
  <si>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</si>
  <si>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</si>
  <si>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</si>
  <si>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</si>
  <si>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</si>
  <si>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</si>
  <si>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</si>
  <si>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</si>
  <si>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</si>
  <si>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</si>
  <si>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</si>
  <si>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</si>
  <si>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</si>
  <si>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</si>
  <si>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</si>
  <si>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</si>
  <si>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</si>
  <si>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</si>
  <si>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</si>
  <si>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</si>
  <si>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</si>
  <si>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</si>
  <si>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</si>
  <si>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</si>
  <si>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</si>
  <si>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</si>
  <si>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</si>
  <si>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</si>
  <si>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</si>
  <si>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</si>
  <si>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</si>
  <si>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</si>
  <si>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</si>
  <si>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</si>
  <si>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</si>
  <si>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</si>
  <si>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</si>
  <si>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</si>
  <si>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</si>
  <si>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</si>
  <si>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</si>
  <si>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</si>
  <si>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</si>
  <si>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</si>
  <si>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</si>
  <si>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</si>
  <si>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</si>
  <si>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</si>
  <si>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</si>
  <si>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</si>
  <si>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</si>
  <si>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</si>
  <si>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</si>
  <si>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</si>
  <si>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</si>
  <si>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</si>
  <si>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</si>
  <si>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</si>
  <si>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</si>
  <si>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</si>
  <si>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</si>
  <si>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</si>
  <si>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</si>
  <si>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</si>
  <si>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</si>
  <si>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</si>
  <si>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</si>
  <si>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</si>
  <si>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</si>
  <si>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</si>
  <si>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</si>
  <si>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</si>
  <si>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</si>
  <si>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</si>
  <si>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</si>
  <si>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</si>
  <si>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</si>
  <si>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</si>
  <si>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</si>
  <si>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</si>
  <si>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</si>
  <si>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</si>
  <si>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</si>
  <si>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</si>
  <si>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</si>
  <si>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</si>
  <si>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</si>
  <si>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</si>
  <si>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</si>
  <si>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</si>
  <si>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</si>
  <si>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</si>
  <si>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</si>
  <si>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</si>
  <si>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</si>
  <si>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</si>
  <si>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</si>
  <si>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</si>
  <si>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</si>
  <si>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</si>
  <si>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</si>
  <si>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</si>
  <si>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</si>
  <si>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</si>
  <si>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</si>
  <si>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</si>
  <si>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</si>
  <si>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</si>
  <si>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</si>
  <si>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</si>
  <si>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</si>
  <si>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</si>
  <si>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</si>
  <si>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</si>
  <si>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</si>
  <si>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</si>
  <si>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</si>
  <si>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</si>
  <si>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</si>
  <si>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</si>
  <si>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</si>
  <si>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</si>
  <si>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</si>
  <si>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</si>
  <si>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</si>
  <si>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</si>
  <si>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</si>
  <si>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</si>
  <si>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</si>
  <si>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</si>
  <si>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</si>
  <si>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</si>
  <si>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</si>
  <si>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</si>
  <si>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</si>
  <si>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</si>
  <si>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</si>
  <si>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</si>
  <si>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</si>
  <si>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</si>
  <si>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</si>
  <si>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</si>
  <si>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</si>
  <si>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</si>
  <si>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</si>
  <si>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</si>
  <si>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</si>
  <si>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</si>
  <si>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</si>
  <si>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</si>
  <si>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</si>
  <si>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</si>
  <si>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</si>
  <si>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</si>
  <si>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</si>
  <si>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</si>
  <si>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</si>
  <si>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</si>
  <si>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</si>
  <si>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</si>
  <si>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</si>
  <si>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</si>
  <si>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</si>
  <si>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</si>
  <si>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</si>
  <si>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</si>
  <si>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</si>
  <si>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</si>
  <si>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</si>
  <si>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</si>
  <si>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</si>
  <si>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</si>
  <si>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</si>
  <si>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</si>
  <si>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</si>
  <si>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</si>
  <si>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</si>
  <si>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</si>
  <si>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</si>
  <si>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</si>
  <si>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</si>
  <si>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</si>
  <si>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</si>
  <si>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</si>
  <si>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</si>
  <si>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</si>
  <si>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</si>
  <si>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</si>
  <si>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</si>
  <si>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</si>
  <si>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</si>
  <si>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</si>
  <si>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</si>
  <si>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</si>
  <si>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</si>
  <si>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</si>
  <si>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</si>
  <si>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</si>
  <si>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</si>
  <si>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</si>
  <si>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</si>
  <si>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</si>
  <si>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</si>
  <si>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</si>
  <si>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</si>
  <si>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</si>
  <si>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</si>
  <si>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</si>
  <si>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</si>
  <si>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</si>
  <si>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</si>
  <si>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</si>
  <si>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</si>
  <si>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</si>
  <si>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</si>
  <si>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</si>
  <si>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</si>
  <si>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</si>
  <si>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</si>
  <si>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</si>
  <si>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</si>
  <si>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</si>
  <si>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</si>
  <si>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</si>
  <si>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</si>
  <si>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</si>
  <si>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</si>
  <si>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</si>
  <si>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</si>
  <si>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</si>
  <si>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</si>
  <si>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</si>
  <si>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</si>
  <si>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</si>
  <si>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</si>
  <si>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</si>
  <si>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</si>
  <si>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</si>
  <si>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</si>
  <si>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</si>
  <si>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</si>
  <si>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</si>
  <si>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</si>
  <si>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</si>
  <si>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</si>
  <si>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</si>
  <si>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</si>
  <si>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</si>
  <si>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</si>
  <si>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</si>
  <si>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</si>
  <si>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</si>
  <si>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</si>
  <si>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</si>
  <si>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</si>
  <si>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</si>
  <si>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</si>
  <si>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</si>
  <si>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</si>
  <si>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</si>
  <si>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</si>
  <si>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</si>
  <si>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</si>
  <si>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</si>
  <si>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</si>
  <si>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</si>
  <si>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</si>
  <si>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</si>
  <si>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</si>
  <si>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</si>
  <si>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</si>
  <si>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</si>
  <si>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</si>
  <si>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</si>
  <si>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</si>
  <si>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</si>
  <si>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</si>
  <si>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</si>
  <si>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</si>
  <si>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</si>
  <si>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</si>
  <si>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</si>
  <si>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</si>
  <si>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</si>
  <si>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</si>
  <si>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</si>
  <si>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</si>
  <si>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</si>
  <si>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</si>
  <si>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</si>
  <si>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</si>
  <si>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</si>
  <si>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</si>
  <si>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</si>
  <si>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</si>
  <si>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</si>
  <si>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</si>
  <si>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</si>
  <si>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</si>
  <si>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</si>
  <si>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</si>
  <si>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</si>
  <si>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</si>
  <si>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</si>
  <si>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</si>
  <si>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</si>
  <si>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</si>
  <si>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</si>
  <si>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</si>
  <si>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</si>
  <si>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</si>
  <si>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</si>
  <si>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</si>
  <si>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</si>
  <si>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</si>
  <si>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</si>
  <si>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</si>
  <si>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</si>
  <si>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</si>
  <si>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</si>
  <si>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</si>
  <si>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</si>
  <si>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</si>
  <si>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</si>
  <si>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</si>
  <si>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</si>
  <si>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</si>
  <si>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</si>
  <si>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</si>
  <si>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</si>
  <si>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</si>
  <si>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</si>
  <si>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</si>
  <si>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</si>
  <si>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</si>
  <si>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</si>
  <si>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</si>
  <si>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</si>
  <si>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</si>
  <si>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</si>
  <si>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</si>
  <si>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</si>
  <si>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</si>
  <si>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</si>
  <si>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</si>
  <si>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</si>
  <si>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</si>
  <si>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</si>
  <si>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</si>
  <si>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</si>
  <si>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</si>
  <si>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</si>
  <si>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</si>
  <si>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</si>
  <si>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</si>
  <si>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</si>
  <si>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</si>
  <si>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</si>
  <si>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</si>
  <si>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</si>
  <si>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</si>
  <si>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</si>
  <si>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</si>
  <si>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</si>
  <si>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</si>
  <si>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</si>
  <si>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</si>
  <si>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</si>
  <si>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</si>
  <si>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</si>
  <si>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</si>
  <si>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</si>
  <si>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</si>
  <si>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</si>
  <si>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</si>
  <si>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</si>
  <si>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</si>
  <si>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</si>
  <si>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</si>
  <si>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</si>
  <si>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</si>
  <si>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</si>
  <si>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</si>
  <si>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</si>
  <si>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</si>
  <si>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</si>
  <si>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</si>
  <si>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</si>
  <si>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</si>
  <si>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</si>
  <si>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</si>
  <si>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</si>
  <si>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</si>
  <si>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</si>
  <si>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</si>
  <si>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</si>
  <si>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</si>
  <si>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</si>
  <si>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</si>
  <si>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</si>
  <si>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</si>
  <si>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</si>
  <si>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</si>
  <si>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</si>
  <si>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</si>
  <si>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</si>
  <si>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</si>
  <si>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</si>
  <si>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</si>
  <si>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</si>
  <si>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</si>
  <si>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</si>
  <si>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</si>
  <si>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</si>
  <si>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</si>
  <si>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</si>
  <si>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</si>
  <si>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</si>
  <si>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</si>
  <si>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</si>
  <si>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</si>
  <si>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</si>
  <si>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</si>
  <si>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</si>
  <si>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</si>
  <si>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</si>
  <si>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</si>
  <si>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</si>
  <si>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</si>
  <si>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</si>
  <si>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</si>
  <si>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</si>
  <si>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</si>
  <si>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</si>
  <si>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</si>
  <si>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</si>
  <si>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</si>
  <si>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</si>
  <si>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</si>
  <si>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</si>
  <si>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</si>
  <si>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</si>
  <si>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</si>
  <si>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</si>
  <si>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</si>
  <si>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</si>
  <si>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</si>
  <si>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</si>
  <si>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</si>
  <si>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</si>
  <si>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</si>
  <si>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</si>
  <si>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</si>
  <si>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</si>
  <si>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</si>
  <si>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</si>
  <si>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</si>
  <si>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</si>
  <si>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</si>
  <si>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</si>
  <si>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</si>
  <si>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</si>
  <si>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</si>
  <si>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</si>
  <si>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</si>
  <si>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</si>
  <si>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</si>
  <si>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</si>
  <si>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</si>
  <si>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</si>
  <si>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</si>
  <si>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</si>
  <si>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</si>
  <si>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</si>
  <si>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</si>
  <si>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</si>
  <si>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</si>
  <si>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</si>
  <si>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</si>
  <si>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</si>
  <si>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</si>
  <si>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</si>
  <si>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</si>
  <si>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</si>
  <si>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</si>
  <si>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</si>
  <si>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</si>
  <si>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</si>
  <si>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</si>
  <si>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</si>
  <si>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</si>
  <si>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</si>
  <si>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</si>
  <si>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</si>
  <si>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</si>
  <si>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</si>
  <si>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</si>
  <si>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</si>
  <si>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</si>
  <si>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</si>
  <si>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</si>
  <si>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</si>
  <si>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</si>
  <si>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</si>
  <si>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</si>
  <si>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</si>
  <si>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</si>
  <si>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</si>
  <si>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</si>
  <si>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</si>
  <si>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</si>
  <si>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</si>
  <si>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</si>
  <si>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</si>
  <si>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</si>
  <si>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</si>
  <si>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</si>
  <si>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</si>
  <si>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</si>
  <si>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</si>
  <si>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</si>
  <si>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</si>
  <si>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</si>
  <si>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</si>
  <si>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</si>
  <si>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</si>
  <si>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</si>
  <si>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</si>
  <si>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</si>
  <si>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</si>
  <si>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</si>
  <si>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</si>
  <si>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</si>
  <si>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</si>
  <si>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</si>
  <si>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</si>
  <si>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</si>
  <si>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</si>
  <si>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</si>
  <si>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</si>
  <si>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</si>
  <si>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</si>
  <si>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</si>
  <si>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</si>
  <si>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</si>
  <si>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</si>
  <si>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</si>
  <si>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</si>
  <si>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</si>
  <si>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</si>
  <si>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</si>
  <si>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</si>
  <si>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</si>
  <si>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</si>
  <si>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</si>
  <si>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</si>
  <si>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</si>
  <si>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</si>
  <si>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</si>
  <si>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</si>
  <si>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</si>
  <si>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</si>
  <si>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</si>
  <si>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</si>
  <si>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</si>
  <si>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</si>
  <si>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</si>
  <si>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</si>
  <si>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</si>
  <si>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</si>
  <si>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</si>
  <si>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</si>
  <si>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</si>
  <si>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</si>
  <si>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</si>
  <si>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</si>
  <si>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</si>
  <si>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</si>
  <si>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</si>
  <si>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</si>
  <si>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</si>
  <si>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</si>
  <si>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</si>
  <si>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</si>
  <si>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</si>
  <si>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</si>
  <si>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</si>
  <si>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</si>
  <si>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</si>
  <si>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</si>
  <si>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</si>
  <si>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</si>
  <si>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</si>
  <si>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</si>
  <si>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</si>
  <si>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</si>
  <si>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</si>
  <si>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</si>
  <si>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</si>
  <si>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</si>
  <si>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</si>
  <si>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</si>
  <si>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</si>
  <si>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</si>
  <si>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</si>
  <si>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</si>
  <si>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</si>
  <si>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</si>
  <si>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</si>
  <si>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</si>
  <si>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</si>
  <si>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</si>
  <si>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</si>
  <si>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</si>
  <si>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</si>
  <si>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</si>
  <si>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</si>
  <si>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</si>
  <si>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</si>
  <si>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</si>
  <si>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</si>
  <si>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</si>
  <si>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</si>
  <si>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</si>
  <si>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</si>
  <si>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</si>
  <si>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</si>
  <si>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</si>
  <si>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</si>
  <si>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</si>
  <si>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</si>
  <si>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</si>
  <si>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</si>
  <si>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</si>
  <si>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</si>
  <si>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</si>
  <si>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</si>
  <si>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</si>
  <si>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</si>
  <si>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</si>
  <si>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</si>
  <si>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</si>
  <si>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</si>
  <si>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</si>
  <si>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</si>
  <si>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</si>
  <si>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</si>
  <si>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</si>
  <si>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</si>
  <si>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</si>
  <si>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</si>
  <si>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</si>
  <si>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</si>
  <si>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</si>
  <si>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</si>
  <si>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</si>
  <si>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</si>
  <si>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</si>
  <si>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</si>
  <si>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</si>
  <si>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</si>
  <si>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</si>
  <si>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</si>
  <si>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</si>
  <si>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</si>
  <si>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</si>
  <si>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</si>
  <si>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</si>
  <si>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</si>
  <si>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</si>
  <si>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</si>
  <si>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</si>
  <si>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</si>
  <si>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</si>
  <si>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</si>
  <si>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</si>
  <si>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</si>
  <si>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</si>
  <si>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</si>
  <si>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</si>
  <si>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</si>
  <si>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</si>
  <si>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</si>
  <si>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</si>
  <si>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</si>
  <si>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</si>
  <si>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</si>
  <si>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</si>
  <si>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</si>
  <si>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</si>
  <si>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</si>
  <si>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</si>
  <si>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</si>
  <si>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</si>
  <si>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</si>
  <si>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</si>
  <si>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</si>
  <si>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</si>
  <si>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</si>
  <si>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</si>
  <si>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</si>
  <si>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</si>
  <si>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</si>
  <si>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</si>
  <si>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</si>
  <si>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</si>
  <si>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</si>
  <si>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</si>
  <si>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</si>
  <si>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</si>
  <si>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</si>
  <si>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</si>
  <si>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</si>
  <si>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</si>
  <si>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</si>
  <si>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</si>
  <si>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</si>
  <si>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</si>
  <si>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</si>
  <si>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</si>
  <si>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</si>
  <si>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</si>
  <si>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</si>
  <si>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</si>
  <si>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</si>
  <si>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</si>
  <si>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</si>
  <si>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</si>
  <si>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</si>
  <si>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</si>
  <si>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</si>
  <si>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</si>
  <si>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</si>
  <si>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</si>
  <si>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</si>
  <si>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</si>
  <si>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</si>
  <si>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</si>
  <si>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</si>
  <si>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</si>
  <si>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</si>
  <si>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</si>
  <si>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</si>
  <si>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</si>
  <si>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</si>
  <si>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</si>
  <si>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</si>
  <si>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</si>
  <si>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</si>
  <si>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</si>
  <si>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</si>
  <si>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</si>
  <si>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</si>
  <si>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</si>
  <si>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</si>
  <si>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</si>
  <si>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</si>
  <si>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</si>
  <si>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</si>
  <si>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</si>
  <si>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</si>
  <si>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</si>
  <si>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</si>
  <si>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</si>
  <si>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</si>
  <si>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</si>
  <si>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</si>
  <si>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</si>
  <si>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</si>
  <si>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</si>
  <si>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</si>
  <si>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</si>
  <si>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</si>
  <si>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</si>
  <si>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</si>
  <si>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</si>
  <si>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</si>
  <si>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</si>
  <si>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</si>
  <si>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</si>
  <si>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</si>
  <si>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</si>
  <si>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</si>
  <si>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</si>
  <si>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</si>
  <si>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</si>
  <si>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</si>
  <si>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</si>
  <si>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</si>
  <si>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</si>
  <si>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</si>
  <si>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</si>
  <si>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</si>
  <si>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</si>
  <si>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</si>
  <si>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</si>
  <si>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</si>
  <si>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</si>
  <si>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</si>
  <si>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</si>
  <si>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</si>
  <si>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</si>
  <si>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</si>
  <si>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</si>
  <si>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</si>
  <si>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</si>
  <si>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</si>
  <si>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</si>
  <si>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</si>
  <si>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</si>
  <si>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</si>
  <si>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</si>
  <si>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</si>
  <si>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</si>
  <si>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</si>
  <si>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</si>
  <si>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</si>
  <si>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</si>
  <si>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</si>
  <si>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</si>
  <si>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</si>
  <si>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</si>
  <si>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</si>
  <si>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</si>
  <si>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</si>
  <si>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</si>
  <si>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</si>
  <si>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</si>
  <si>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</si>
  <si>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</si>
  <si>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</si>
  <si>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</si>
  <si>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</si>
  <si>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</si>
  <si>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</si>
  <si>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</si>
  <si>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</si>
  <si>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</si>
  <si>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</si>
  <si>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</si>
  <si>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</si>
  <si>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</si>
  <si>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</si>
  <si>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</si>
  <si>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</si>
  <si>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</si>
  <si>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</si>
  <si>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</si>
  <si>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</si>
  <si>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</si>
  <si>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</si>
  <si>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</si>
  <si>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</si>
  <si>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</si>
  <si>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</si>
  <si>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</si>
  <si>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</si>
  <si>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</si>
  <si>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</si>
  <si>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</si>
  <si>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</si>
  <si>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</si>
  <si>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</si>
  <si>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</si>
  <si>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</si>
  <si>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</si>
  <si>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</si>
  <si>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</si>
  <si>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</si>
  <si>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</si>
  <si>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</si>
  <si>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</si>
  <si>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</si>
  <si>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</si>
  <si>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</si>
  <si>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</si>
  <si>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</si>
  <si>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</si>
  <si>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</si>
  <si>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</si>
  <si>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</si>
  <si>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</si>
  <si>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</si>
  <si>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</si>
  <si>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</si>
  <si>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</si>
  <si>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</si>
  <si>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</si>
  <si>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</si>
  <si>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</si>
  <si>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</si>
  <si>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</si>
  <si>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</si>
  <si>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</si>
  <si>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</si>
  <si>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</si>
  <si>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</si>
  <si>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</si>
  <si>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</si>
  <si>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</si>
  <si>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</si>
  <si>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</si>
  <si>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</si>
  <si>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</si>
  <si>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</si>
  <si>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</si>
  <si>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</si>
  <si>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</si>
  <si>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</si>
  <si>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</si>
  <si>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</si>
  <si>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</si>
  <si>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</si>
  <si>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</si>
  <si>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</si>
  <si>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</si>
  <si>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</si>
  <si>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</si>
  <si>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</si>
  <si>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</si>
  <si>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</si>
  <si>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</si>
  <si>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</si>
  <si>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</si>
  <si>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</si>
  <si>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</si>
  <si>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</si>
  <si>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</si>
  <si>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</si>
  <si>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</si>
  <si>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</si>
  <si>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</si>
  <si>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</si>
  <si>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</si>
  <si>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</si>
  <si>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</si>
  <si>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</si>
  <si>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</si>
  <si>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</si>
  <si>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</si>
  <si>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</si>
  <si>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</si>
  <si>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</si>
  <si>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</si>
  <si>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</si>
  <si>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</si>
  <si>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</si>
  <si>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</si>
  <si>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</si>
  <si>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</si>
  <si>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</si>
  <si>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</si>
  <si>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</si>
  <si>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</si>
  <si>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</si>
  <si>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</si>
  <si>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</si>
  <si>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</si>
  <si>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</si>
  <si>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</si>
  <si>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</si>
  <si>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</si>
  <si>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</si>
  <si>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</si>
  <si>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</si>
  <si>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</si>
  <si>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</si>
  <si>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</si>
  <si>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</si>
  <si>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</si>
  <si>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</si>
  <si>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</si>
  <si>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</si>
  <si>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</si>
  <si>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</si>
  <si>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</si>
  <si>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</si>
  <si>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</si>
  <si>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</si>
  <si>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</si>
  <si>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</si>
  <si>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</si>
  <si>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</si>
  <si>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</si>
  <si>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</si>
  <si>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</si>
  <si>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</si>
  <si>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</si>
  <si>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</si>
  <si>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</si>
  <si>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</si>
  <si>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</si>
  <si>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</si>
  <si>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</si>
  <si>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</si>
  <si>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</si>
  <si>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</si>
  <si>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</si>
  <si>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</si>
  <si>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</si>
  <si>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</si>
  <si>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</si>
  <si>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</si>
  <si>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</si>
  <si>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</si>
  <si>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</si>
  <si>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</si>
  <si>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</si>
  <si>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</si>
  <si>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</si>
  <si>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</si>
  <si>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</si>
  <si>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</si>
  <si>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</si>
  <si>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</si>
  <si>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</si>
  <si>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</si>
  <si>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</si>
  <si>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</si>
  <si>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</si>
  <si>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</si>
  <si>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</si>
  <si>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</si>
  <si>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</si>
  <si>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</si>
  <si>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</si>
  <si>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</si>
  <si>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</si>
  <si>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</si>
  <si>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</si>
  <si>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</si>
  <si>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</si>
  <si>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</si>
  <si>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</si>
  <si>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</si>
  <si>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</si>
  <si>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</si>
  <si>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</si>
  <si>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</si>
  <si>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</si>
  <si>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</si>
  <si>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</si>
  <si>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</si>
  <si>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</si>
  <si>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</si>
  <si>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</si>
  <si>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</si>
  <si>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</si>
  <si>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</si>
  <si>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</si>
  <si>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</si>
  <si>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</si>
  <si>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</si>
  <si>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</si>
  <si>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</si>
  <si>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</si>
  <si>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</si>
  <si>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</si>
  <si>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</si>
  <si>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</si>
  <si>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</si>
  <si>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</si>
  <si>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</si>
  <si>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</si>
  <si>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</si>
  <si>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</si>
  <si>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</si>
  <si>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</si>
  <si>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</si>
  <si>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</si>
  <si>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</si>
  <si>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</si>
  <si>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</si>
  <si>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</si>
  <si>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</si>
  <si>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</si>
  <si>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</si>
  <si>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</si>
  <si>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</si>
  <si>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</si>
  <si>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</si>
  <si>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</si>
  <si>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</si>
  <si>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</si>
  <si>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</si>
  <si>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</si>
  <si>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</si>
  <si>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</si>
  <si>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</si>
  <si>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</si>
  <si>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</si>
  <si>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</si>
  <si>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</si>
  <si>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</si>
  <si>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</si>
  <si>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</si>
  <si>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</si>
  <si>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</si>
  <si>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</si>
  <si>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</si>
  <si>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</si>
  <si>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</si>
  <si>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</si>
  <si>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</si>
  <si>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</si>
  <si>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</si>
  <si>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</si>
  <si>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</si>
  <si>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</si>
  <si>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</si>
  <si>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</si>
  <si>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</si>
  <si>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</si>
  <si>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</si>
  <si>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</si>
  <si>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</si>
  <si>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</si>
  <si>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</si>
  <si>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</si>
  <si>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</si>
  <si>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</si>
  <si>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</si>
  <si>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</si>
  <si>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</si>
  <si>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</si>
  <si>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</si>
  <si>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</si>
  <si>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</si>
  <si>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</si>
  <si>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</si>
  <si>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</si>
  <si>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</si>
  <si>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</si>
  <si>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</si>
  <si>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</si>
  <si>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</si>
  <si>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</si>
  <si>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</si>
  <si>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</si>
  <si>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</si>
  <si>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</si>
  <si>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</si>
  <si>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</si>
  <si>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</si>
  <si>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</si>
  <si>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</si>
  <si>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</si>
  <si>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</si>
  <si>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</si>
  <si>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</si>
  <si>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</si>
  <si>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</si>
  <si>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</si>
  <si>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</si>
  <si>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</si>
  <si>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</si>
  <si>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</si>
  <si>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</si>
  <si>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</si>
  <si>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</si>
  <si>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</si>
  <si>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</si>
  <si>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</si>
  <si>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</si>
  <si>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</si>
  <si>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</si>
  <si>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</si>
  <si>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</si>
  <si>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</si>
  <si>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</si>
  <si>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</si>
  <si>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</si>
  <si>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</si>
  <si>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</si>
  <si>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</si>
  <si>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</si>
  <si>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</si>
  <si>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</si>
  <si>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</si>
  <si>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</si>
  <si>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</si>
  <si>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</si>
  <si>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</si>
  <si>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</si>
  <si>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</si>
  <si>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</si>
  <si>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</si>
  <si>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</si>
  <si>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</si>
  <si>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</si>
  <si>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</si>
  <si>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</si>
  <si>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</si>
  <si>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</si>
  <si>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</si>
  <si>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</si>
  <si>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</si>
  <si>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</si>
  <si>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</si>
  <si>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</si>
  <si>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</si>
  <si>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</si>
  <si>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</si>
  <si>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</si>
  <si>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</si>
  <si>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</si>
  <si>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</si>
  <si>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</si>
  <si>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</si>
  <si>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</si>
  <si>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</si>
  <si>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</si>
  <si>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</si>
  <si>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</si>
  <si>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</si>
  <si>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</si>
  <si>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</si>
  <si>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</si>
  <si>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</si>
  <si>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</si>
  <si>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</si>
  <si>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</si>
  <si>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</si>
  <si>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</si>
  <si>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</si>
  <si>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</si>
  <si>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</si>
  <si>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</si>
  <si>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</si>
  <si>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</si>
  <si>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</si>
  <si>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</si>
  <si>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</si>
  <si>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</si>
  <si>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</si>
  <si>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</si>
  <si>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</si>
  <si>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</si>
  <si>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</si>
  <si>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</si>
  <si>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</si>
  <si>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</si>
  <si>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</si>
  <si>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</si>
  <si>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</si>
  <si>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</si>
  <si>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</si>
  <si>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</si>
  <si>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</si>
  <si>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</si>
  <si>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</si>
  <si>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</si>
  <si>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</si>
  <si>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</si>
  <si>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</si>
  <si>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</si>
  <si>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</si>
  <si>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</si>
  <si>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</si>
  <si>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</si>
  <si>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</si>
  <si>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</si>
  <si>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</si>
  <si>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</si>
  <si>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</si>
  <si>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</si>
  <si>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</si>
  <si>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</si>
  <si>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</si>
  <si>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</si>
  <si>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</si>
  <si>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</si>
  <si>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</si>
  <si>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</si>
  <si>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</si>
  <si>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</si>
  <si>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</si>
  <si>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</si>
  <si>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</si>
  <si>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</si>
  <si>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</si>
  <si>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</si>
  <si>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</si>
  <si>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</si>
  <si>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</si>
  <si>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</si>
  <si>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</si>
  <si>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</si>
  <si>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</si>
  <si>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</si>
  <si>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</si>
  <si>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</si>
  <si>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</si>
  <si>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</si>
  <si>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</si>
  <si>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</si>
  <si>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</si>
  <si>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</si>
  <si>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</si>
  <si>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</si>
  <si>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</si>
  <si>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</si>
  <si>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</si>
  <si>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</si>
  <si>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</si>
  <si>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</si>
  <si>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</si>
  <si>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</si>
  <si>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</si>
  <si>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</si>
  <si>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</si>
  <si>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</si>
  <si>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</si>
  <si>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</si>
  <si>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</si>
  <si>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</si>
  <si>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</si>
  <si>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</si>
  <si>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</si>
  <si>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</si>
  <si>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</si>
  <si>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</si>
  <si>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</si>
  <si>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</si>
  <si>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</si>
  <si>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</si>
  <si>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</si>
  <si>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</si>
  <si>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</si>
  <si>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</si>
  <si>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</si>
  <si>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</si>
  <si>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</si>
  <si>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</si>
  <si>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</si>
  <si>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</si>
  <si>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pretláčanie rukou - bežné transfery</t>
  </si>
  <si>
    <t>20250748</t>
  </si>
  <si>
    <t>úhrada nájomného SAPR</t>
  </si>
  <si>
    <t>36374199</t>
  </si>
  <si>
    <t>KASprof-SECURITY agency s.r.o, r.s.p</t>
  </si>
  <si>
    <t>BV-7/2025</t>
  </si>
  <si>
    <t>00151653</t>
  </si>
  <si>
    <t>Slovenská sporiteľňa a.s.</t>
  </si>
  <si>
    <t>transakčná daň</t>
  </si>
  <si>
    <t>9125582438</t>
  </si>
  <si>
    <t>Pelikan.sk</t>
  </si>
  <si>
    <t>Cestovné náklady - letenky
názov podujatia :Majstrovstvá Sveta 2025
miesto konania: Albena, Bulharsko
termín:10.9-23.9.2025
počet aktívnych účastníkov:8 športovcov,1 reprezentačný tréner</t>
  </si>
  <si>
    <t>9125543958</t>
  </si>
  <si>
    <t>Cestovné náklady - letenky
názov podujatia :Majstrovstvá Sveta 2025
miesto konania: Albena, Bulharsko
termín:10.9-23.9.2025
počet aktívnych účastníkov:6 športovcov,1 reprezentačný tréner</t>
  </si>
  <si>
    <t>9125500305</t>
  </si>
  <si>
    <t>Cestovné náklady - letenky
názov podujatia :Majstrovstvá Sveta 2025
miesto konania: Albena, Bulharsko
termín:10.9-23.9.2025
počet aktívnych účastníkov: 2 športovci</t>
  </si>
  <si>
    <t>9125593941</t>
  </si>
  <si>
    <t>Cestovné náklady - letenky
názov podujatia :Majstrovstvá Sveta 2025
miesto konania: Albena, Bulharsko
termín:10.9-23.9.2025
počet aktívnych účastníkov: 3 športovci, 1 sprievod</t>
  </si>
  <si>
    <t>9125526040</t>
  </si>
  <si>
    <t>Cestovné náklady - letenky
názov podujatia :Majstrovstvá Sveta 2025
miesto konania: Albena, Bulharsko
termín:10.9-23.9.2025
počet aktívnych účastníkov: 1 športovec</t>
  </si>
  <si>
    <t>9125517991</t>
  </si>
  <si>
    <t>Cestovné náklady - letenky
názov podujatia :Majstrovstvá Sveta 2025
miesto konania: Albena, Bulharsko
termín:10.9-23.9.2025
počet aktívnych účastníkov:2 športovci</t>
  </si>
  <si>
    <t>9125583505</t>
  </si>
  <si>
    <t>Cestovné náklady - letenky
názov podujatia :Majstrovstvá Sveta 2025
miesto konania: Albena, Bulharsko
termín:10.9-23.9.2025
počet aktívnych účastníkov:1 športovec</t>
  </si>
  <si>
    <t>9125607305</t>
  </si>
  <si>
    <t>9125666674</t>
  </si>
  <si>
    <t>20250868</t>
  </si>
  <si>
    <t>250003</t>
  </si>
  <si>
    <t>43320741</t>
  </si>
  <si>
    <t>Ing. Zdenka Hudačková - ZDENKA</t>
  </si>
  <si>
    <t>cestovné - športová reprezentácia
Názov:Majstrovstvá Európy
Termín: 31.5-4.6.2025
Miesto - mesto a štát:Cluj-Napoca, Rumunsko
Počet všetkých osôb na pracovnej ceste
z toho:
- športovci (+ navádzači): 8</t>
  </si>
  <si>
    <t>F2601</t>
  </si>
  <si>
    <t>ubytovanie športovej reprezentácie
názov podujatia :Majstrovstvá Sveta 2025
miesto konania: Albena, Bulharsko
termín:10.9-23.9.2025
počet aktívnych účastníkov:18 športovcov</t>
  </si>
  <si>
    <t>5896372004</t>
  </si>
  <si>
    <t>PA Linc</t>
  </si>
  <si>
    <t>BV-8/2025</t>
  </si>
  <si>
    <t>BV-9/2025</t>
  </si>
  <si>
    <t>20250977</t>
  </si>
  <si>
    <t>CP-2/2025</t>
  </si>
  <si>
    <t xml:space="preserve">Pracovná cesta
Názov: ME
Termín: 31.5-4.6.2025
Miesto - Kluž, Rumunsko
Spôsob dopravy: AUV
Počet všetkých osôb na pracovnej ceste 3
- športovci 2
- tréneri  1
</t>
  </si>
  <si>
    <t>Mgr. Gabriel Harčarik</t>
  </si>
  <si>
    <t>FA1020252323</t>
  </si>
  <si>
    <t>36432717</t>
  </si>
  <si>
    <t>WAMP s.r.o</t>
  </si>
  <si>
    <t>doprava športovej reprezentácie
názov podujatia :Majstrovstvá Sveta 2025
miesto konania: Albena, Bulharsko
termín:10.9
počet aktívnych účastníkov:9 športovcov</t>
  </si>
  <si>
    <t>FA1020252345</t>
  </si>
  <si>
    <t>doprava športovej reprezentácie
názov podujatia :Majstrovstvá Sveta 2025
miesto konania: Albena, Bulharsko
termín:15.9- 16.9.2025
počet aktívnych účastníkov:9 športovcov</t>
  </si>
  <si>
    <t>20251158</t>
  </si>
  <si>
    <t>47590084</t>
  </si>
  <si>
    <t>BUGGY MB s.r.o</t>
  </si>
  <si>
    <t>2025033</t>
  </si>
  <si>
    <t>Organizácia podujatia
názov podujatia: Armwrestling CUP
miesto konania: Prešov
termín: 11.10.2025, materiálno-technické zabezpečenie</t>
  </si>
  <si>
    <t>CP-3/2025</t>
  </si>
  <si>
    <t>29.10.025</t>
  </si>
  <si>
    <t xml:space="preserve">Pracovná cesta
Názov: MS
Termín: 10.9-15.9.2025
Miesto - Albena, Bulharsko
Spôsob dopravy: AUV
Počet všetkých osôb na pracovnej ceste 5
- športovci 4
- tréneri  1
</t>
  </si>
  <si>
    <t>2025017</t>
  </si>
  <si>
    <t>Organizácia podujatia
názov podujatia: 1 kolo SNLP Prešov, Silná rka SŠ Košický a Prešovský Kraj
miesto konania: Prešov
termín: 9.10.- 11.10.2025, zabezpečenie a manažment súťaže</t>
  </si>
  <si>
    <t>45737908</t>
  </si>
  <si>
    <t>AWK Prešov n.o</t>
  </si>
  <si>
    <t>BV-10/2025</t>
  </si>
  <si>
    <t>ubytovanie športovej reprezentácie
názov podujatia :Majstrovstvá Sveta 2025
miesto konania: Albena, Bulharsko
termín:10.9-23.9.2025
počet aktívnych účastníkov:18 športovcov (rozúčtované na I. A II. Polrok)</t>
  </si>
  <si>
    <t>Podpora mládeže do 23 rokov vyplatená na  nákup športového náradia  prostredníctvom klubov (rozúčtované na I. A II. Polrok)</t>
  </si>
  <si>
    <t>AWK Dobrá Voda</t>
  </si>
  <si>
    <t>ŽoUP- 2/25-M</t>
  </si>
  <si>
    <t>FA 2025014</t>
  </si>
  <si>
    <t>Organizácia podujatia
názov podujatia: Silná ruka stredoškolárkov
miesto konania: Námestovo
termín: 24.10.2025, materiálno-technické zabezpečenie</t>
  </si>
  <si>
    <t>42345839</t>
  </si>
  <si>
    <t>KASprof-security bul team Orava</t>
  </si>
  <si>
    <t>FA250100205</t>
  </si>
  <si>
    <t xml:space="preserve">Ocenenia pre športovú reprezentáciu za rok 2025 
názov podujatia: TOP 5
</t>
  </si>
  <si>
    <t>17756847</t>
  </si>
  <si>
    <t>Bauer sportovní potřeby s.r.o Ostava</t>
  </si>
  <si>
    <t>ŽoUP-2/25-T</t>
  </si>
  <si>
    <t>Podpora talentovej mládeže vyplatená na  nákup športového náradia  prostredníctvom klubov</t>
  </si>
  <si>
    <t>ŽoUP-3/25-T</t>
  </si>
  <si>
    <t>42404266</t>
  </si>
  <si>
    <t>ŽoUP-4/25-T</t>
  </si>
  <si>
    <t>Podpora talentovej mládeže vyplatená na  nákup športového náradia, regenerácie,   prostredníctvom klubov</t>
  </si>
  <si>
    <t>BV-11/2025</t>
  </si>
  <si>
    <t>ŽoUP - 3/25-M</t>
  </si>
  <si>
    <t>ŽoUP - 4/25-M</t>
  </si>
  <si>
    <t>AWK Revúca</t>
  </si>
  <si>
    <t>ŽoUP - 5/25-M</t>
  </si>
  <si>
    <t>AWK Myjava</t>
  </si>
  <si>
    <t>ŽoUP - 6/25-M</t>
  </si>
  <si>
    <t>AWK Prievidza</t>
  </si>
  <si>
    <t>ŽoUP - 7/25-M</t>
  </si>
  <si>
    <t>ŠKPR Trnava</t>
  </si>
  <si>
    <t>ŽoUP - 5/25-T</t>
  </si>
  <si>
    <t>ŽoUP- 6/25-T</t>
  </si>
  <si>
    <t>ŽoUP - 7/25_T</t>
  </si>
  <si>
    <t>ŽoUP - 8/25-T</t>
  </si>
  <si>
    <t>ŽoUP - 9/25-T</t>
  </si>
  <si>
    <t xml:space="preserve">Podpora mládeže do 23 rokov vyplatená na  nákup športového náradia  prostredníctvom klubov </t>
  </si>
  <si>
    <t>FA 20251285</t>
  </si>
  <si>
    <t>HYPOSKO</t>
  </si>
  <si>
    <t>FA54/2025</t>
  </si>
  <si>
    <t>Organizácia podujatia
názov podujatia: Silná ruka stredoškolárkov
miesto konania: BRATISLAVA, SENEC, B.BYSTRICA
termín: 13.10-10.11, materiálno-technické zabezpečenie</t>
  </si>
  <si>
    <t>42157862</t>
  </si>
  <si>
    <t>FA20251385</t>
  </si>
  <si>
    <t>Podpora talentovej mládeže vyplatená na  nákup športového oblečenia, regenerácie,   prostredníctvom klubov</t>
  </si>
  <si>
    <t>Podpora talentovej mládeže vyplatená na  nákup športového náradia,   prostredníctvom klubov</t>
  </si>
  <si>
    <t>42304075</t>
  </si>
  <si>
    <t>Podpora j mládeže do 23 rokov vyplatená na  nákup športového náradia,   prostredníctvom klubov</t>
  </si>
  <si>
    <t>Podpora talentovej mládeže vyplatená na  nákup športového oblečenia,    prostredníctvom klubov</t>
  </si>
  <si>
    <t>34004416</t>
  </si>
  <si>
    <t>50481061</t>
  </si>
  <si>
    <t>Podpora j mládeže do 23 rokov vyplatená na  nákup športového oblečenia,   prostredníctvom klubov</t>
  </si>
  <si>
    <t>50339290</t>
  </si>
  <si>
    <t>ŽoUP 8/25-M</t>
  </si>
  <si>
    <t>Podpora j mládeže do 23 rokov vyplatená na  nákup športového oblečenia, regenerácie,    prostredníctvom klubov</t>
  </si>
  <si>
    <t>52232212</t>
  </si>
  <si>
    <t>ŠK Lucia Debnárová</t>
  </si>
  <si>
    <t>ŽoUP 10/25-T</t>
  </si>
  <si>
    <t>Podpora talentovej mládeže vyplatená na , regenerácie,   prostredníctvom klubov</t>
  </si>
  <si>
    <t>Podpora talentovej mládeže vyplatená na  nákup  regenerácie</t>
  </si>
  <si>
    <t>GymBeam s.r.o</t>
  </si>
  <si>
    <t>Podpora j mládeže do 23 rokov vyplatená na  nákup regenerácie - doplnky výživy</t>
  </si>
  <si>
    <t>FA2025041</t>
  </si>
  <si>
    <t>Organizácia podujatia
názov podujatia: 2 kolo SNLP
miesto konania: Prešov
termín: 11.10.2025, materiálno-technické zabezpečenie</t>
  </si>
  <si>
    <t>BV-12/2025</t>
  </si>
  <si>
    <t>25A220014</t>
  </si>
  <si>
    <t>BV072025</t>
  </si>
  <si>
    <t>25A220016</t>
  </si>
  <si>
    <t>25A220017</t>
  </si>
  <si>
    <t>25A220018</t>
  </si>
  <si>
    <t>25A220019</t>
  </si>
  <si>
    <t>25A220020</t>
  </si>
  <si>
    <t>25A220021</t>
  </si>
  <si>
    <t>25A220022</t>
  </si>
  <si>
    <t>25A220023</t>
  </si>
  <si>
    <t>25A220024</t>
  </si>
  <si>
    <t>25A220015</t>
  </si>
  <si>
    <t>25A220025</t>
  </si>
  <si>
    <t>25A220026</t>
  </si>
  <si>
    <t>BV082025</t>
  </si>
  <si>
    <t>25A220027</t>
  </si>
  <si>
    <t>25A220028</t>
  </si>
  <si>
    <t>25A220030</t>
  </si>
  <si>
    <t>25A220029</t>
  </si>
  <si>
    <t>BV092025</t>
  </si>
  <si>
    <t>25A220031</t>
  </si>
  <si>
    <t>25A220032</t>
  </si>
  <si>
    <t>25A220033</t>
  </si>
  <si>
    <t>25A220034</t>
  </si>
  <si>
    <t>25A220035</t>
  </si>
  <si>
    <t>25A220036</t>
  </si>
  <si>
    <t>25A220037</t>
  </si>
  <si>
    <t>FA 10003800731</t>
  </si>
  <si>
    <t>25A220039</t>
  </si>
  <si>
    <t>FA1003800736</t>
  </si>
  <si>
    <t>25A220040</t>
  </si>
  <si>
    <t>25A220041</t>
  </si>
  <si>
    <t>25210</t>
  </si>
  <si>
    <t>25211</t>
  </si>
  <si>
    <t>BV102025</t>
  </si>
  <si>
    <t>25214</t>
  </si>
  <si>
    <t>25216</t>
  </si>
  <si>
    <t>25212</t>
  </si>
  <si>
    <t>BV112025</t>
  </si>
  <si>
    <t>25228</t>
  </si>
  <si>
    <t>25222</t>
  </si>
  <si>
    <t>25225</t>
  </si>
  <si>
    <t>25227</t>
  </si>
  <si>
    <t>25221</t>
  </si>
  <si>
    <t>25223</t>
  </si>
  <si>
    <t>25226</t>
  </si>
  <si>
    <t>25224</t>
  </si>
  <si>
    <t>25219</t>
  </si>
  <si>
    <t>25220</t>
  </si>
  <si>
    <t>25218</t>
  </si>
  <si>
    <t>25217</t>
  </si>
  <si>
    <t>BV122025</t>
  </si>
  <si>
    <t>25215</t>
  </si>
  <si>
    <t>46440224</t>
  </si>
  <si>
    <t>Kontaktná osoba zodpovedná za vyplnený formulár
meno a priezvisko:Dagmar Petrová
e-mail:sekretariat@armsport.sk
tel. kontakt (mobil):0905162424</t>
  </si>
  <si>
    <t>Ján Germanus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</si>
</sst>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b/>
      <sz val="8"/>
      <color rgb="FF000000"/>
      <name val="Tahoma"/>
      <family val="2"/>
      <charset val="238"/>
    </font>
    <font>
      <sz val="8"/>
      <color rgb="FF000000"/>
      <name val="Tahoma"/>
      <family val="2"/>
      <charset val="238"/>
    </font>
    <font>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8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49" fontId="92" fillId="3" borderId="0" xfId="0" applyNumberFormat="1" applyFont="1" applyFill="1" applyAlignment="1" applyProtection="1">
      <alignment vertical="top" wrapText="1"/>
      <protection locked="0"/>
    </xf>
    <xf numFmtId="164" fontId="92" fillId="3" borderId="0" xfId="0" applyNumberFormat="1" applyFont="1" applyFill="1" applyAlignment="1" applyProtection="1">
      <alignmen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38"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3" zoomScaleNormal="100" workbookViewId="0">
      <selection activeCell="A43" sqref="A43"/>
    </sheetView>
  </sheetViews>
  <sheetFormatPr defaultColWidth="11.453125" defaultRowHeight="12.5" x14ac:dyDescent="0.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x14ac:dyDescent="0.25">
      <c r="A1" s="308" t="s">
        <v>0</v>
      </c>
      <c r="C1" s="318"/>
      <c r="D1" s="318"/>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1689</v>
      </c>
      <c r="C6" s="205"/>
      <c r="D6" s="205"/>
    </row>
    <row r="7" spans="1:4" s="18" customFormat="1" ht="15" customHeight="1" x14ac:dyDescent="0.25">
      <c r="A7" s="296" t="s">
        <v>4</v>
      </c>
      <c r="C7" s="205"/>
      <c r="D7" s="205"/>
    </row>
    <row r="8" spans="1:4" s="18" customFormat="1" ht="15" customHeight="1" x14ac:dyDescent="0.25">
      <c r="A8" s="269" t="s">
        <v>1337</v>
      </c>
      <c r="C8" s="205"/>
      <c r="D8" s="205"/>
    </row>
    <row r="9" spans="1:4" s="18" customFormat="1" ht="15" customHeight="1" x14ac:dyDescent="0.25">
      <c r="A9" s="269" t="s">
        <v>1338</v>
      </c>
      <c r="C9" s="205"/>
      <c r="D9" s="205"/>
    </row>
    <row r="10" spans="1:4" s="18" customFormat="1" ht="15.75" customHeight="1" x14ac:dyDescent="0.25">
      <c r="A10" s="296" t="s">
        <v>1339</v>
      </c>
      <c r="C10" s="205"/>
      <c r="D10" s="205"/>
    </row>
    <row r="11" spans="1:4" s="18" customFormat="1" ht="42.75" customHeight="1" x14ac:dyDescent="0.25">
      <c r="A11" s="296" t="s">
        <v>1340</v>
      </c>
      <c r="C11" s="205"/>
      <c r="D11" s="205"/>
    </row>
    <row r="12" spans="1:4" s="18" customFormat="1" ht="20.5" customHeight="1" x14ac:dyDescent="0.25">
      <c r="A12" s="304" t="s">
        <v>1359</v>
      </c>
      <c r="C12" s="205"/>
      <c r="D12" s="205"/>
    </row>
    <row r="13" spans="1:4" s="18" customFormat="1" ht="23.5"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5" customHeight="1" x14ac:dyDescent="0.25">
      <c r="A17" s="21"/>
      <c r="C17" s="21"/>
    </row>
    <row r="18" spans="1:4" ht="205" customHeight="1" x14ac:dyDescent="0.25">
      <c r="A18" s="298" t="s">
        <v>7</v>
      </c>
      <c r="B18" s="257"/>
      <c r="C18" s="21"/>
    </row>
    <row r="19" spans="1:4" ht="30.75" customHeight="1" x14ac:dyDescent="0.25">
      <c r="A19" s="21"/>
      <c r="B19" s="257"/>
      <c r="C19" s="21"/>
    </row>
    <row r="20" spans="1:4" ht="26.25" customHeight="1" x14ac:dyDescent="0.25">
      <c r="A20" s="299" t="s">
        <v>8</v>
      </c>
      <c r="C20" s="21"/>
    </row>
    <row r="21" spans="1:4" ht="38" x14ac:dyDescent="0.25">
      <c r="A21" s="19" t="s">
        <v>9</v>
      </c>
      <c r="C21" s="319"/>
      <c r="D21" s="319"/>
    </row>
    <row r="22" spans="1:4" x14ac:dyDescent="0.25">
      <c r="C22" s="320"/>
      <c r="D22" s="319"/>
    </row>
    <row r="23" spans="1:4" ht="64" x14ac:dyDescent="0.25">
      <c r="A23" s="23" t="s">
        <v>1360</v>
      </c>
      <c r="C23" s="255"/>
      <c r="D23" s="256"/>
    </row>
    <row r="24" spans="1:4" ht="12.75" customHeight="1" x14ac:dyDescent="0.25">
      <c r="C24" s="316"/>
      <c r="D24" s="31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1341</v>
      </c>
    </row>
    <row r="32" spans="1:4" ht="12.75" customHeight="1" x14ac:dyDescent="0.25"/>
    <row r="33" spans="1:3" ht="15.75" customHeight="1" x14ac:dyDescent="0.25">
      <c r="A33" s="19" t="s">
        <v>1342</v>
      </c>
    </row>
    <row r="34" spans="1:3" ht="12.75" customHeight="1" x14ac:dyDescent="0.25"/>
    <row r="35" spans="1:3" ht="52" x14ac:dyDescent="0.25">
      <c r="A35" s="19" t="s">
        <v>1344</v>
      </c>
    </row>
    <row r="36" spans="1:3" ht="12" customHeight="1" x14ac:dyDescent="0.25"/>
    <row r="37" spans="1:3" ht="25.5" x14ac:dyDescent="0.25">
      <c r="A37" s="271" t="s">
        <v>1343</v>
      </c>
    </row>
    <row r="39" spans="1:3" ht="77" x14ac:dyDescent="0.25">
      <c r="A39" s="23" t="s">
        <v>1345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1346</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1347</v>
      </c>
    </row>
    <row r="49" spans="1:1" ht="12" customHeight="1" x14ac:dyDescent="0.25"/>
    <row r="50" spans="1:1" ht="39" x14ac:dyDescent="0.25">
      <c r="A50" s="19" t="s">
        <v>1348</v>
      </c>
    </row>
    <row r="51" spans="1:1" ht="12.75" customHeight="1" x14ac:dyDescent="0.25"/>
    <row r="52" spans="1:1" ht="75.5" x14ac:dyDescent="0.25">
      <c r="A52" s="19" t="s">
        <v>1349</v>
      </c>
    </row>
    <row r="53" spans="1:1" ht="12.75" customHeight="1" x14ac:dyDescent="0.25"/>
    <row r="54" spans="1:1" ht="38.5" x14ac:dyDescent="0.25">
      <c r="A54" s="19" t="s">
        <v>1350</v>
      </c>
    </row>
    <row r="56" spans="1:1" ht="13" x14ac:dyDescent="0.25">
      <c r="A56" s="19" t="s">
        <v>16</v>
      </c>
    </row>
    <row r="58" spans="1:1" ht="13" x14ac:dyDescent="0.25">
      <c r="A58" s="19" t="s">
        <v>17</v>
      </c>
    </row>
    <row r="60" spans="1:1" ht="121.75" customHeight="1" x14ac:dyDescent="0.25">
      <c r="A60" s="23" t="s">
        <v>1351</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1352</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11" t="s">
        <v>1370</v>
      </c>
    </row>
    <row r="73" spans="1:1" ht="37.5" x14ac:dyDescent="0.25">
      <c r="A73" s="23" t="s">
        <v>1371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1361</v>
      </c>
    </row>
    <row r="96" spans="1:2" x14ac:dyDescent="0.25">
      <c r="A96" s="23"/>
    </row>
    <row r="97" spans="1:4" ht="13" x14ac:dyDescent="0.25">
      <c r="A97" s="260" t="s">
        <v>40</v>
      </c>
    </row>
    <row r="98" spans="1:4" ht="68.5" customHeight="1" x14ac:dyDescent="0.25">
      <c r="A98" s="23" t="s">
        <v>1362</v>
      </c>
    </row>
    <row r="99" spans="1:4" x14ac:dyDescent="0.25">
      <c r="A99" s="23"/>
    </row>
    <row r="100" spans="1:4" ht="13" x14ac:dyDescent="0.25">
      <c r="A100" s="260" t="s">
        <v>41</v>
      </c>
    </row>
    <row r="101" spans="1:4" ht="75.5" x14ac:dyDescent="0.25">
      <c r="A101" s="23" t="s">
        <v>1363</v>
      </c>
    </row>
    <row r="102" spans="1:4" x14ac:dyDescent="0.25">
      <c r="A102" s="23"/>
    </row>
    <row r="103" spans="1:4" ht="13" x14ac:dyDescent="0.25">
      <c r="A103" s="297" t="s">
        <v>42</v>
      </c>
    </row>
    <row r="104" spans="1:4" ht="50.5" x14ac:dyDescent="0.25">
      <c r="A104" s="23" t="s">
        <v>1364</v>
      </c>
    </row>
    <row r="105" spans="1:4" x14ac:dyDescent="0.25">
      <c r="A105" s="23"/>
      <c r="B105" s="20" t="s">
        <v>43</v>
      </c>
    </row>
    <row r="106" spans="1:4" ht="13" x14ac:dyDescent="0.25">
      <c r="A106" s="260" t="s">
        <v>44</v>
      </c>
    </row>
    <row r="107" spans="1:4" ht="71.25" customHeight="1" x14ac:dyDescent="0.25">
      <c r="A107" s="19" t="s">
        <v>1365</v>
      </c>
    </row>
    <row r="108" spans="1:4" ht="37.5" x14ac:dyDescent="0.25">
      <c r="A108" s="19" t="s">
        <v>1355</v>
      </c>
    </row>
    <row r="109" spans="1:4" ht="25" x14ac:dyDescent="0.25">
      <c r="A109" s="19" t="s">
        <v>45</v>
      </c>
    </row>
    <row r="110" spans="1:4" ht="10.5" customHeight="1" x14ac:dyDescent="0.25">
      <c r="D110" s="20" t="s">
        <v>43</v>
      </c>
    </row>
    <row r="111" spans="1:4" ht="99.75" customHeight="1" x14ac:dyDescent="0.25">
      <c r="A111" s="23" t="s">
        <v>1354</v>
      </c>
    </row>
    <row r="112" spans="1:4" ht="26" x14ac:dyDescent="0.25">
      <c r="A112" s="19" t="s">
        <v>1353</v>
      </c>
    </row>
    <row r="114" spans="1:2" ht="175" x14ac:dyDescent="0.25">
      <c r="A114" s="23" t="s">
        <v>1366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1356</v>
      </c>
    </row>
    <row r="133" spans="1:1" ht="61.5" customHeight="1" x14ac:dyDescent="0.25">
      <c r="A133" s="303" t="s">
        <v>1368</v>
      </c>
    </row>
    <row r="134" spans="1:1" ht="13" x14ac:dyDescent="0.25">
      <c r="A134" s="260" t="s">
        <v>1369</v>
      </c>
    </row>
    <row r="135" spans="1:1" ht="101" x14ac:dyDescent="0.25">
      <c r="A135" s="303" t="s">
        <v>1357</v>
      </c>
    </row>
    <row r="136" spans="1:1" x14ac:dyDescent="0.25">
      <c r="A136"/>
    </row>
    <row r="137" spans="1:1" ht="71.5" customHeight="1" x14ac:dyDescent="0.25">
      <c r="A137" s="302" t="s">
        <v>1358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x14ac:dyDescent="0.25">
      <c r="A1" s="370" t="str">
        <f>Spolu!C3&amp;", "&amp;Spolu!C6</f>
        <v>Slovenská asociácia pretláčania rukou, Vavrečka 311, Námestovo, 029 01</v>
      </c>
      <c r="B1" s="370"/>
      <c r="C1" s="37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71" t="s">
        <v>1259</v>
      </c>
      <c r="F3" s="372"/>
      <c r="N3" s="137" t="str">
        <f t="shared" si="0"/>
        <v>c - príspevok Slovenskému paralympijskému výboru</v>
      </c>
      <c r="O3" s="137" t="s">
        <v>343</v>
      </c>
      <c r="P3" s="137" t="str">
        <f>Spolu!B19</f>
        <v>príspevok Slovenskému paralympijskému výboru</v>
      </c>
    </row>
    <row r="4" spans="1:16" ht="45.75" customHeight="1" x14ac:dyDescent="0.25">
      <c r="E4" s="372"/>
      <c r="F4" s="372"/>
      <c r="N4" s="137" t="str">
        <f t="shared" si="0"/>
        <v>d - príspevok športovcom top tímu</v>
      </c>
      <c r="O4" s="137" t="s">
        <v>345</v>
      </c>
      <c r="P4" s="137" t="str">
        <f>Spolu!B20</f>
        <v>príspevok športovcom top tímu</v>
      </c>
    </row>
    <row r="5" spans="1:16" ht="30.75" customHeight="1" x14ac:dyDescent="0.25">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1261</v>
      </c>
      <c r="E6" s="140" t="s">
        <v>1262</v>
      </c>
      <c r="F6" s="149"/>
      <c r="N6" s="137" t="str">
        <f t="shared" si="0"/>
        <v>f - plnenie úloh verejného záujmu v športe</v>
      </c>
      <c r="O6" s="137" t="s">
        <v>349</v>
      </c>
      <c r="P6" s="137" t="str">
        <f>Spolu!B22</f>
        <v>plnenie úloh verejného záujmu v športe</v>
      </c>
    </row>
    <row r="7" spans="1:16" x14ac:dyDescent="0.25">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3" t="s">
        <v>1290</v>
      </c>
      <c r="B12" s="373"/>
      <c r="C12" s="373"/>
      <c r="D12" s="138"/>
      <c r="E12" s="138"/>
      <c r="F12" s="195" t="s">
        <v>1291</v>
      </c>
      <c r="G12" s="138"/>
      <c r="N12" s="137" t="str">
        <f t="shared" si="0"/>
        <v>l - podpora zdravotne postihnutých športovcov</v>
      </c>
      <c r="O12" s="137" t="s">
        <v>360</v>
      </c>
      <c r="P12" s="137" t="str">
        <f>Spolu!B28</f>
        <v>podpora zdravotne postihnutých športovcov</v>
      </c>
    </row>
    <row r="13" spans="1:16" ht="55.5" customHeight="1" x14ac:dyDescent="0.25">
      <c r="A13" s="37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4"/>
      <c r="C13" s="374"/>
      <c r="F13" s="195" t="s">
        <v>1384</v>
      </c>
      <c r="N13" s="137" t="str">
        <f t="shared" si="0"/>
        <v>m - organizácia tradičných športových podujatí</v>
      </c>
      <c r="O13" s="137" t="s">
        <v>362</v>
      </c>
      <c r="P13" s="137" t="str">
        <f>Spolu!B29</f>
        <v>organizácia tradičných športových podujatí</v>
      </c>
    </row>
    <row r="14" spans="1:16" ht="34.5" customHeight="1" x14ac:dyDescent="0.25">
      <c r="A14" s="139" t="s">
        <v>1274</v>
      </c>
      <c r="B14" s="375" t="s">
        <v>1292</v>
      </c>
      <c r="C14" s="376"/>
      <c r="F14" s="313"/>
      <c r="N14" s="137" t="str">
        <f t="shared" si="0"/>
        <v xml:space="preserve">n - </v>
      </c>
      <c r="O14" s="137" t="s">
        <v>364</v>
      </c>
    </row>
    <row r="15" spans="1:16" ht="34.5" customHeight="1" x14ac:dyDescent="0.25">
      <c r="A15" s="139" t="s">
        <v>1293</v>
      </c>
      <c r="B15" s="375"/>
      <c r="C15" s="376"/>
      <c r="F15" s="378"/>
      <c r="N15" s="137" t="str">
        <f t="shared" si="0"/>
        <v xml:space="preserve">o - </v>
      </c>
      <c r="O15" s="137" t="s">
        <v>365</v>
      </c>
    </row>
    <row r="16" spans="1:16" x14ac:dyDescent="0.25">
      <c r="A16" s="139" t="s">
        <v>1277</v>
      </c>
      <c r="B16" s="142">
        <f>F8</f>
        <v>0</v>
      </c>
      <c r="C16" s="137"/>
      <c r="F16" s="378"/>
      <c r="N16" s="137" t="str">
        <f t="shared" si="0"/>
        <v xml:space="preserve">p - </v>
      </c>
      <c r="O16" s="137" t="s">
        <v>366</v>
      </c>
    </row>
    <row r="17" spans="1:16" ht="32.25" customHeight="1" x14ac:dyDescent="0.25">
      <c r="A17" s="139" t="s">
        <v>1280</v>
      </c>
      <c r="B17" s="142">
        <f>F9</f>
        <v>0</v>
      </c>
      <c r="C17" s="137"/>
      <c r="F17" s="378"/>
      <c r="N17" s="137" t="str">
        <f t="shared" si="0"/>
        <v xml:space="preserve">q - </v>
      </c>
      <c r="O17" s="137" t="s">
        <v>367</v>
      </c>
    </row>
    <row r="18" spans="1:16" ht="16" thickBot="1" x14ac:dyDescent="0.3">
      <c r="B18" s="193" t="s">
        <v>1294</v>
      </c>
      <c r="C18" s="194">
        <v>31</v>
      </c>
      <c r="N18" s="137" t="str">
        <f t="shared" si="0"/>
        <v xml:space="preserve">r - </v>
      </c>
      <c r="O18" s="137" t="s">
        <v>368</v>
      </c>
    </row>
    <row r="19" spans="1:16" x14ac:dyDescent="0.25">
      <c r="B19" s="193" t="s">
        <v>1282</v>
      </c>
      <c r="C19" s="142" t="str">
        <f>Spolu!C4</f>
        <v>30811686</v>
      </c>
      <c r="F19" s="145" t="s">
        <v>1278</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1283</v>
      </c>
      <c r="G21" s="286">
        <v>421947749446</v>
      </c>
      <c r="H21" s="148"/>
      <c r="N21" s="137" t="str">
        <f>O21&amp;" - "&amp;P21</f>
        <v>026 01 - Šport pre všetkých, školský a univerzitný šport</v>
      </c>
      <c r="O21" s="137" t="s">
        <v>317</v>
      </c>
      <c r="P21" s="137" t="s">
        <v>318</v>
      </c>
    </row>
    <row r="22" spans="1:16" x14ac:dyDescent="0.25">
      <c r="A22" s="137"/>
      <c r="B22" s="137"/>
      <c r="F22" s="147" t="s">
        <v>1284</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7" t="s">
        <v>1285</v>
      </c>
      <c r="C24" s="37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1295</v>
      </c>
    </row>
    <row r="28" spans="1:16" x14ac:dyDescent="0.25">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1297</v>
      </c>
    </row>
    <row r="2" spans="1:2" ht="30" customHeight="1" x14ac:dyDescent="0.25">
      <c r="A2" s="379" t="s">
        <v>1298</v>
      </c>
      <c r="B2" s="379"/>
    </row>
    <row r="3" spans="1:2" ht="13" x14ac:dyDescent="0.25">
      <c r="A3" s="61" t="s">
        <v>1299</v>
      </c>
      <c r="B3" s="61" t="s">
        <v>1300</v>
      </c>
    </row>
    <row r="4" spans="1:2" x14ac:dyDescent="0.25">
      <c r="A4" s="62" t="s">
        <v>1301</v>
      </c>
      <c r="B4" s="62" t="s">
        <v>1302</v>
      </c>
    </row>
    <row r="5" spans="1:2" x14ac:dyDescent="0.25">
      <c r="A5" s="62" t="s">
        <v>1303</v>
      </c>
      <c r="B5" s="62" t="s">
        <v>1304</v>
      </c>
    </row>
    <row r="6" spans="1:2" x14ac:dyDescent="0.25">
      <c r="A6" s="62" t="s">
        <v>1305</v>
      </c>
      <c r="B6" s="62" t="s">
        <v>1306</v>
      </c>
    </row>
    <row r="7" spans="1:2" x14ac:dyDescent="0.25">
      <c r="A7" s="62" t="s">
        <v>1307</v>
      </c>
      <c r="B7" s="62" t="s">
        <v>1308</v>
      </c>
    </row>
    <row r="8" spans="1:2" x14ac:dyDescent="0.25">
      <c r="A8" s="62" t="s">
        <v>1309</v>
      </c>
      <c r="B8" s="62" t="s">
        <v>1310</v>
      </c>
    </row>
    <row r="9" spans="1:2" x14ac:dyDescent="0.25">
      <c r="A9" s="62" t="s">
        <v>1311</v>
      </c>
      <c r="B9" s="62" t="s">
        <v>1312</v>
      </c>
    </row>
    <row r="10" spans="1:2" x14ac:dyDescent="0.25">
      <c r="A10" s="62" t="s">
        <v>1313</v>
      </c>
      <c r="B10" s="62" t="s">
        <v>1314</v>
      </c>
    </row>
    <row r="11" spans="1:2" x14ac:dyDescent="0.25">
      <c r="A11" s="62" t="s">
        <v>1315</v>
      </c>
      <c r="B11" s="62" t="s">
        <v>1316</v>
      </c>
    </row>
    <row r="12" spans="1:2" x14ac:dyDescent="0.25">
      <c r="A12" s="62" t="s">
        <v>1317</v>
      </c>
      <c r="B12" s="62" t="s">
        <v>1318</v>
      </c>
    </row>
    <row r="13" spans="1:2" x14ac:dyDescent="0.25">
      <c r="A13" s="62" t="s">
        <v>1319</v>
      </c>
      <c r="B13" s="62" t="s">
        <v>1320</v>
      </c>
    </row>
    <row r="14" spans="1:2" x14ac:dyDescent="0.25">
      <c r="A14" s="62" t="s">
        <v>1321</v>
      </c>
      <c r="B14" s="62" t="s">
        <v>1322</v>
      </c>
    </row>
    <row r="15" spans="1:2" x14ac:dyDescent="0.25">
      <c r="A15" s="62" t="s">
        <v>1323</v>
      </c>
      <c r="B15" s="62" t="s">
        <v>1324</v>
      </c>
    </row>
    <row r="16" spans="1:2" x14ac:dyDescent="0.25">
      <c r="A16" s="62" t="s">
        <v>1325</v>
      </c>
      <c r="B16" s="62" t="s">
        <v>1326</v>
      </c>
    </row>
    <row r="17" spans="1:2" x14ac:dyDescent="0.25">
      <c r="A17" s="62" t="s">
        <v>1327</v>
      </c>
      <c r="B17" s="62" t="s">
        <v>1328</v>
      </c>
    </row>
    <row r="18" spans="1:2" x14ac:dyDescent="0.25">
      <c r="A18" s="62" t="s">
        <v>1329</v>
      </c>
      <c r="B18" s="62" t="s">
        <v>1330</v>
      </c>
    </row>
    <row r="19" spans="1:2" x14ac:dyDescent="0.25">
      <c r="A19" s="62" t="s">
        <v>1331</v>
      </c>
      <c r="B19" s="62" t="s">
        <v>1332</v>
      </c>
    </row>
    <row r="20" spans="1:2" x14ac:dyDescent="0.25">
      <c r="A20" s="62" t="s">
        <v>1333</v>
      </c>
      <c r="B20" s="62" t="s">
        <v>1334</v>
      </c>
    </row>
    <row r="21" spans="1:2" x14ac:dyDescent="0.25">
      <c r="A21" s="62" t="s">
        <v>1335</v>
      </c>
      <c r="B21" s="62" t="s">
        <v>1336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57" activePane="bottomLeft" state="frozen"/>
      <selection pane="bottomLeft" activeCell="O19" sqref="O19"/>
    </sheetView>
  </sheetViews>
  <sheetFormatPr defaultColWidth="11.453125" defaultRowHeight="10" x14ac:dyDescent="0.2"/>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21" t="s">
        <v>57</v>
      </c>
      <c r="B1" s="321"/>
      <c r="C1" s="321"/>
      <c r="D1" s="321"/>
      <c r="E1" s="321"/>
      <c r="F1" s="321"/>
      <c r="G1" s="321"/>
      <c r="H1" s="321"/>
      <c r="I1" s="52"/>
      <c r="J1" s="37"/>
    </row>
    <row r="2" spans="1:11" ht="15.5" x14ac:dyDescent="0.35">
      <c r="A2" s="327" t="s">
        <v>58</v>
      </c>
      <c r="B2" s="327"/>
      <c r="C2" s="327"/>
      <c r="D2" s="327"/>
      <c r="E2" s="327"/>
      <c r="F2" s="327"/>
      <c r="G2" s="327"/>
      <c r="H2" s="325" t="str">
        <f>+Doklady!I100</f>
        <v>V3</v>
      </c>
      <c r="I2" s="325"/>
    </row>
    <row r="3" spans="1:11" ht="14" x14ac:dyDescent="0.3">
      <c r="A3" s="40"/>
      <c r="B3" s="40"/>
      <c r="C3" s="40"/>
      <c r="D3" s="40"/>
      <c r="E3" s="40"/>
      <c r="F3" s="40"/>
      <c r="G3" s="40"/>
      <c r="H3" s="326">
        <f>+Doklady!I101</f>
        <v>45887</v>
      </c>
      <c r="I3" s="326"/>
    </row>
    <row r="4" spans="1:11" ht="15.75" customHeight="1" x14ac:dyDescent="0.3">
      <c r="A4" s="41" t="s">
        <v>59</v>
      </c>
      <c r="B4" s="322" t="s">
        <v>60</v>
      </c>
      <c r="C4" s="323"/>
      <c r="D4" s="323"/>
      <c r="E4" s="32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x14ac:dyDescent="0.3">
      <c r="A1" s="330" t="s">
        <v>311</v>
      </c>
      <c r="B1" s="331"/>
      <c r="C1" s="174">
        <v>45688</v>
      </c>
      <c r="D1" s="26"/>
      <c r="G1" s="252">
        <v>45688</v>
      </c>
    </row>
    <row r="2" spans="1:7" ht="14" x14ac:dyDescent="0.3">
      <c r="A2" s="28"/>
      <c r="B2" s="28"/>
      <c r="G2" s="252">
        <v>45716</v>
      </c>
    </row>
    <row r="3" spans="1:7" ht="14" x14ac:dyDescent="0.3">
      <c r="A3" s="30" t="s">
        <v>312</v>
      </c>
      <c r="B3" s="328" t="str">
        <f>INDEX(Adr!B:B,Doklady!B102+1)</f>
        <v>Slovenská asociácia pretláčania rukou</v>
      </c>
      <c r="C3" s="328"/>
      <c r="D3" s="328"/>
      <c r="G3" s="252">
        <v>45747</v>
      </c>
    </row>
    <row r="4" spans="1:7" ht="14" x14ac:dyDescent="0.3">
      <c r="A4" s="30" t="s">
        <v>313</v>
      </c>
      <c r="B4" s="29" t="str">
        <f>RIGHT("0000"&amp;INDEX(Adr!A:A,Doklady!B102+1),8)</f>
        <v>30811686</v>
      </c>
      <c r="G4" s="252">
        <v>45777</v>
      </c>
    </row>
    <row r="5" spans="1:7" ht="14" x14ac:dyDescent="0.3">
      <c r="A5" s="30" t="s">
        <v>314</v>
      </c>
      <c r="B5" s="29" t="str">
        <f>INDEX(Adr!D:D,Doklady!B102+1)&amp;", "&amp;INDEX(Adr!E:E,Doklady!B102+1)</f>
        <v>Vavrečka 311, Námestovo</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39888</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39888</v>
      </c>
      <c r="G15" s="252"/>
    </row>
    <row r="16" spans="1:7" ht="14" x14ac:dyDescent="0.3">
      <c r="G16" s="252"/>
    </row>
    <row r="17" spans="1:5" ht="72" customHeight="1" x14ac:dyDescent="0.25">
      <c r="A17" s="329" t="s">
        <v>328</v>
      </c>
      <c r="B17" s="329"/>
      <c r="C17" s="329"/>
      <c r="D17" s="32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6" zoomScaleNormal="100" workbookViewId="0">
      <selection sqref="A1:I54"/>
    </sheetView>
  </sheetViews>
  <sheetFormatPr defaultColWidth="11.453125" defaultRowHeight="10" x14ac:dyDescent="0.2"/>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40" t="s">
        <v>329</v>
      </c>
      <c r="B1" s="340"/>
      <c r="C1" s="340"/>
      <c r="D1" s="340"/>
      <c r="E1" s="340"/>
      <c r="F1" s="340"/>
      <c r="G1" s="340"/>
      <c r="H1" s="340"/>
      <c r="I1" s="340"/>
    </row>
    <row r="2" spans="1:26" ht="7.5" customHeight="1" x14ac:dyDescent="0.2">
      <c r="C2" s="8"/>
      <c r="D2" s="8"/>
      <c r="E2" s="8"/>
      <c r="F2" s="8"/>
      <c r="G2" s="8"/>
      <c r="H2" s="8"/>
      <c r="I2" s="8"/>
    </row>
    <row r="3" spans="1:26" s="9" customFormat="1" ht="26.25" customHeight="1" x14ac:dyDescent="0.25">
      <c r="B3" s="160" t="s">
        <v>59</v>
      </c>
      <c r="C3" s="341" t="str">
        <f>INDEX(Adr!B2:B151,Doklady!B102)</f>
        <v>Slovenská asociácia pretláčania rukou</v>
      </c>
      <c r="D3" s="341"/>
      <c r="E3" s="341"/>
      <c r="F3" s="341"/>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INDEX(Adr!A2:A151,Doklady!B102)</f>
        <v>30811686</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INDEX(Adr!D2:D151,Doklady!B102)&amp;", "&amp;INDEX(Adr!E2:E151,Doklady!B102)&amp;", "&amp;INDEX(Adr!F2:F151,Doklady!B102)</f>
        <v>Vavrečka 311, Námestovo, 029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2" t="s">
        <v>334</v>
      </c>
      <c r="F9" s="343"/>
      <c r="J9" s="8"/>
      <c r="L9" s="118"/>
      <c r="M9" s="118"/>
      <c r="N9" s="118"/>
      <c r="O9" s="118"/>
      <c r="P9" s="118"/>
      <c r="Q9" s="118"/>
      <c r="R9" s="118"/>
      <c r="S9" s="118"/>
    </row>
    <row r="10" spans="1:26" ht="18" x14ac:dyDescent="0.4">
      <c r="A10" s="69" t="s">
        <v>317</v>
      </c>
      <c r="B10" s="70" t="s">
        <v>318</v>
      </c>
      <c r="C10" s="126">
        <f>SUMIF(FP!J:J,Doklady!$B$1&amp;A10,FP!D:D)</f>
        <v>0</v>
      </c>
      <c r="D10" s="126">
        <f>C10-E10</f>
        <v>0</v>
      </c>
      <c r="E10" s="333">
        <f>SUMIF(K:K,A10,I:I)</f>
        <v>0</v>
      </c>
      <c r="F10" s="334"/>
      <c r="L10" s="120" t="s">
        <v>335</v>
      </c>
      <c r="M10" s="118"/>
      <c r="N10" s="118"/>
      <c r="O10" s="118"/>
      <c r="P10" s="118"/>
      <c r="Q10" s="118"/>
      <c r="R10" s="118"/>
      <c r="S10" s="118"/>
    </row>
    <row r="11" spans="1:26" ht="18" x14ac:dyDescent="0.4">
      <c r="A11" s="69" t="s">
        <v>319</v>
      </c>
      <c r="B11" s="70" t="s">
        <v>320</v>
      </c>
      <c r="C11" s="126">
        <f>SUMIF(FP!J:J,Doklady!$B$1&amp;A11,FP!D:D)</f>
        <v>39888</v>
      </c>
      <c r="D11" s="126">
        <f>+C11-E11</f>
        <v>39887.999999999993</v>
      </c>
      <c r="E11" s="344">
        <f>+I39-I42+I44-I47</f>
        <v>7.2759576141834259E-12</v>
      </c>
      <c r="F11" s="345"/>
      <c r="J11" s="176"/>
      <c r="L11" s="161" t="str">
        <f>L41</f>
        <v>a - pretláčanie rukou - bežné transfery</v>
      </c>
      <c r="M11" s="118"/>
      <c r="N11" s="118"/>
      <c r="O11" s="118"/>
      <c r="P11" s="118"/>
      <c r="Q11" s="118"/>
      <c r="R11" s="118"/>
      <c r="S11" s="118"/>
    </row>
    <row r="12" spans="1:26" ht="18" x14ac:dyDescent="0.4">
      <c r="A12" s="69" t="s">
        <v>321</v>
      </c>
      <c r="B12" s="70" t="s">
        <v>322</v>
      </c>
      <c r="C12" s="126">
        <f>SUMIF(FP!J:J,Doklady!$B$1&amp;A12,FP!D:D)</f>
        <v>0</v>
      </c>
      <c r="D12" s="126">
        <f>C12-E12</f>
        <v>0</v>
      </c>
      <c r="E12" s="333">
        <f>SUMIF(K:K,A12,I:I)</f>
        <v>0</v>
      </c>
      <c r="F12" s="334"/>
      <c r="J12" s="177"/>
      <c r="L12" s="161" t="str">
        <f>L42</f>
        <v>a - pretláčanie rukou - kapitálové transfery</v>
      </c>
      <c r="N12" s="118"/>
      <c r="O12" s="118"/>
      <c r="P12" s="118"/>
      <c r="Q12" s="118"/>
      <c r="R12" s="118"/>
      <c r="S12" s="118"/>
    </row>
    <row r="13" spans="1:26" ht="18" x14ac:dyDescent="0.4">
      <c r="A13" s="69" t="s">
        <v>323</v>
      </c>
      <c r="B13" s="70" t="s">
        <v>324</v>
      </c>
      <c r="C13" s="126">
        <f>SUMIF(FP!J:J,Doklady!$B$1&amp;A13,FP!D:D)</f>
        <v>0</v>
      </c>
      <c r="D13" s="126">
        <f>C13-E13</f>
        <v>0</v>
      </c>
      <c r="E13" s="333">
        <f>SUMIF(K:K,A13,I:I)</f>
        <v>0</v>
      </c>
      <c r="F13" s="33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46">
        <f>SUMIF(K:K,A14,I:I)</f>
        <v>0</v>
      </c>
      <c r="F14" s="34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3" t="s">
        <v>337</v>
      </c>
      <c r="C16" s="354"/>
      <c r="D16" s="354"/>
      <c r="E16" s="354"/>
      <c r="F16" s="354"/>
      <c r="G16" s="354"/>
      <c r="H16" s="35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8" t="s">
        <v>340</v>
      </c>
      <c r="C17" s="348"/>
      <c r="D17" s="348"/>
      <c r="E17" s="348"/>
      <c r="F17" s="348"/>
      <c r="G17" s="348"/>
      <c r="H17" s="348"/>
      <c r="I17" s="73">
        <f>SUMIF(FP!I:I,Doklady!$B$1&amp;A17,FP!D:D)</f>
        <v>39888</v>
      </c>
      <c r="T17" s="86"/>
    </row>
    <row r="18" spans="1:20" x14ac:dyDescent="0.2">
      <c r="A18" s="135" t="s">
        <v>341</v>
      </c>
      <c r="B18" s="348" t="s">
        <v>342</v>
      </c>
      <c r="C18" s="348"/>
      <c r="D18" s="348"/>
      <c r="E18" s="348"/>
      <c r="F18" s="348"/>
      <c r="G18" s="348"/>
      <c r="H18" s="348"/>
      <c r="I18" s="73">
        <f>SUMIF(FP!I:I,Doklady!$B$1&amp;A18,FP!D:D)</f>
        <v>0</v>
      </c>
    </row>
    <row r="19" spans="1:20" x14ac:dyDescent="0.2">
      <c r="A19" s="115" t="s">
        <v>343</v>
      </c>
      <c r="B19" s="348" t="s">
        <v>344</v>
      </c>
      <c r="C19" s="348"/>
      <c r="D19" s="348"/>
      <c r="E19" s="348"/>
      <c r="F19" s="348"/>
      <c r="G19" s="348"/>
      <c r="H19" s="348"/>
      <c r="I19" s="73">
        <f>SUMIF(FP!I:I,Doklady!$B$1&amp;A19,FP!D:D)</f>
        <v>0</v>
      </c>
    </row>
    <row r="20" spans="1:20" x14ac:dyDescent="0.2">
      <c r="A20" s="135" t="s">
        <v>345</v>
      </c>
      <c r="B20" s="337" t="s">
        <v>346</v>
      </c>
      <c r="C20" s="338"/>
      <c r="D20" s="338"/>
      <c r="E20" s="338"/>
      <c r="F20" s="338"/>
      <c r="G20" s="338"/>
      <c r="H20" s="339"/>
      <c r="I20" s="73">
        <f>SUMIF(FP!I:I,Doklady!$B$1&amp;A20,FP!D:D)</f>
        <v>0</v>
      </c>
      <c r="T20" s="86"/>
    </row>
    <row r="21" spans="1:20" x14ac:dyDescent="0.2">
      <c r="A21" s="115" t="s">
        <v>347</v>
      </c>
      <c r="B21" s="337" t="s">
        <v>348</v>
      </c>
      <c r="C21" s="338"/>
      <c r="D21" s="338"/>
      <c r="E21" s="338"/>
      <c r="F21" s="338"/>
      <c r="G21" s="338"/>
      <c r="H21" s="339"/>
      <c r="I21" s="73">
        <f>SUMIF(FP!I:I,Doklady!$B$1&amp;A21,FP!D:D)</f>
        <v>0</v>
      </c>
      <c r="T21" s="86"/>
    </row>
    <row r="22" spans="1:20" x14ac:dyDescent="0.2">
      <c r="A22" s="135" t="s">
        <v>349</v>
      </c>
      <c r="B22" s="356" t="s">
        <v>350</v>
      </c>
      <c r="C22" s="357"/>
      <c r="D22" s="357"/>
      <c r="E22" s="357"/>
      <c r="F22" s="357"/>
      <c r="G22" s="357"/>
      <c r="H22" s="358"/>
      <c r="I22" s="73">
        <f>SUMIF(FP!I:I,Doklady!$B$1&amp;A22,FP!D:D)</f>
        <v>0</v>
      </c>
      <c r="T22" s="86"/>
    </row>
    <row r="23" spans="1:20" x14ac:dyDescent="0.2">
      <c r="A23" s="115" t="s">
        <v>351</v>
      </c>
      <c r="B23" s="337" t="s">
        <v>352</v>
      </c>
      <c r="C23" s="338"/>
      <c r="D23" s="338"/>
      <c r="E23" s="338"/>
      <c r="F23" s="338"/>
      <c r="G23" s="338"/>
      <c r="H23" s="339"/>
      <c r="I23" s="73">
        <f>SUMIF(FP!I:I,Doklady!$B$1&amp;A23,FP!D:D)</f>
        <v>0</v>
      </c>
      <c r="T23" s="86"/>
    </row>
    <row r="24" spans="1:20" x14ac:dyDescent="0.2">
      <c r="A24" s="135" t="s">
        <v>353</v>
      </c>
      <c r="B24" s="337" t="s">
        <v>354</v>
      </c>
      <c r="C24" s="338"/>
      <c r="D24" s="338"/>
      <c r="E24" s="338"/>
      <c r="F24" s="338"/>
      <c r="G24" s="338"/>
      <c r="H24" s="339"/>
      <c r="I24" s="73">
        <f>SUMIF(FP!I:I,Doklady!$B$1&amp;A24,FP!D:D)</f>
        <v>0</v>
      </c>
      <c r="T24" s="86"/>
    </row>
    <row r="25" spans="1:20" x14ac:dyDescent="0.2">
      <c r="A25" s="115" t="s">
        <v>355</v>
      </c>
      <c r="B25" s="349" t="s">
        <v>2281</v>
      </c>
      <c r="C25" s="350"/>
      <c r="D25" s="350"/>
      <c r="E25" s="350"/>
      <c r="F25" s="350"/>
      <c r="G25" s="350"/>
      <c r="H25" s="351"/>
      <c r="I25" s="73">
        <f>SUMIF(FP!I:I,Doklady!$B$1&amp;A25,FP!D:D)</f>
        <v>0</v>
      </c>
      <c r="T25" s="86"/>
    </row>
    <row r="26" spans="1:20" x14ac:dyDescent="0.2">
      <c r="A26" s="135" t="s">
        <v>356</v>
      </c>
      <c r="B26" s="337" t="s">
        <v>357</v>
      </c>
      <c r="C26" s="338"/>
      <c r="D26" s="338"/>
      <c r="E26" s="338"/>
      <c r="F26" s="338"/>
      <c r="G26" s="338"/>
      <c r="H26" s="339"/>
      <c r="I26" s="73">
        <f>SUMIF(FP!I:I,Doklady!$B$1&amp;A26,FP!D:D)</f>
        <v>0</v>
      </c>
      <c r="T26" s="86"/>
    </row>
    <row r="27" spans="1:20" x14ac:dyDescent="0.2">
      <c r="A27" s="115" t="s">
        <v>358</v>
      </c>
      <c r="B27" s="337" t="s">
        <v>359</v>
      </c>
      <c r="C27" s="338"/>
      <c r="D27" s="338"/>
      <c r="E27" s="338"/>
      <c r="F27" s="338"/>
      <c r="G27" s="338"/>
      <c r="H27" s="339"/>
      <c r="I27" s="73">
        <f>SUMIF(FP!I:I,Doklady!$B$1&amp;A27,FP!D:D)</f>
        <v>0</v>
      </c>
      <c r="T27" s="86"/>
    </row>
    <row r="28" spans="1:20" x14ac:dyDescent="0.2">
      <c r="A28" s="135" t="s">
        <v>360</v>
      </c>
      <c r="B28" s="337" t="s">
        <v>361</v>
      </c>
      <c r="C28" s="338"/>
      <c r="D28" s="338"/>
      <c r="E28" s="338"/>
      <c r="F28" s="338"/>
      <c r="G28" s="338"/>
      <c r="H28" s="339"/>
      <c r="I28" s="73">
        <f>SUMIF(FP!I:I,Doklady!$B$1&amp;A28,FP!D:D)</f>
        <v>0</v>
      </c>
      <c r="T28" s="86"/>
    </row>
    <row r="29" spans="1:20" x14ac:dyDescent="0.2">
      <c r="A29" s="115" t="s">
        <v>362</v>
      </c>
      <c r="B29" s="337" t="s">
        <v>363</v>
      </c>
      <c r="C29" s="338"/>
      <c r="D29" s="338"/>
      <c r="E29" s="338"/>
      <c r="F29" s="338"/>
      <c r="G29" s="338"/>
      <c r="H29" s="339"/>
      <c r="I29" s="73">
        <f>SUMIF(FP!I:I,Doklady!$B$1&amp;A29,FP!D:D)</f>
        <v>0</v>
      </c>
      <c r="T29" s="86"/>
    </row>
    <row r="30" spans="1:20" hidden="1" x14ac:dyDescent="0.2">
      <c r="A30" s="135" t="s">
        <v>364</v>
      </c>
      <c r="B30" s="337"/>
      <c r="C30" s="338"/>
      <c r="D30" s="338"/>
      <c r="E30" s="338"/>
      <c r="F30" s="338"/>
      <c r="G30" s="338"/>
      <c r="H30" s="339"/>
      <c r="I30" s="73">
        <f>SUMIF(FP!I:I,Doklady!$B$1&amp;A30,FP!D:D)</f>
        <v>0</v>
      </c>
      <c r="T30" s="86"/>
    </row>
    <row r="31" spans="1:20" hidden="1" x14ac:dyDescent="0.2">
      <c r="A31" s="115" t="s">
        <v>365</v>
      </c>
      <c r="B31" s="337"/>
      <c r="C31" s="338"/>
      <c r="D31" s="338"/>
      <c r="E31" s="338"/>
      <c r="F31" s="338"/>
      <c r="G31" s="338"/>
      <c r="H31" s="339"/>
      <c r="I31" s="73">
        <f>SUMIF(FP!I:I,Doklady!$B$1&amp;A31,FP!D:D)</f>
        <v>0</v>
      </c>
      <c r="T31" s="86"/>
    </row>
    <row r="32" spans="1:20" hidden="1" x14ac:dyDescent="0.2">
      <c r="A32" s="135" t="s">
        <v>366</v>
      </c>
      <c r="B32" s="359"/>
      <c r="C32" s="360"/>
      <c r="D32" s="360"/>
      <c r="E32" s="360"/>
      <c r="F32" s="360"/>
      <c r="G32" s="360"/>
      <c r="H32" s="361"/>
      <c r="I32" s="73">
        <f>SUMIF(FP!I:I,Doklady!$B$1&amp;A32,FP!D:D)</f>
        <v>0</v>
      </c>
      <c r="T32" s="86"/>
    </row>
    <row r="33" spans="1:21" hidden="1" x14ac:dyDescent="0.2">
      <c r="A33" s="115" t="s">
        <v>367</v>
      </c>
      <c r="B33" s="359"/>
      <c r="C33" s="360"/>
      <c r="D33" s="360"/>
      <c r="E33" s="360"/>
      <c r="F33" s="360"/>
      <c r="G33" s="360"/>
      <c r="H33" s="361"/>
      <c r="I33" s="73">
        <f>SUMIF(FP!I:I,Doklady!$B$1&amp;A33,FP!D:D)</f>
        <v>0</v>
      </c>
      <c r="T33" s="86"/>
    </row>
    <row r="34" spans="1:21" hidden="1" x14ac:dyDescent="0.2">
      <c r="A34" s="135" t="s">
        <v>368</v>
      </c>
      <c r="B34" s="362"/>
      <c r="C34" s="362"/>
      <c r="D34" s="362"/>
      <c r="E34" s="362"/>
      <c r="F34" s="362"/>
      <c r="G34" s="362"/>
      <c r="H34" s="36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pretláčanie rukou</v>
      </c>
      <c r="C38" s="68" t="s">
        <v>1686</v>
      </c>
      <c r="D38" s="68" t="s">
        <v>1687</v>
      </c>
      <c r="E38" s="68" t="s">
        <v>1688</v>
      </c>
      <c r="F38" s="68" t="s">
        <v>1685</v>
      </c>
      <c r="G38" s="68" t="s">
        <v>370</v>
      </c>
      <c r="H38" s="68" t="s">
        <v>371</v>
      </c>
      <c r="I38" s="67" t="s">
        <v>327</v>
      </c>
      <c r="L38" s="84">
        <f>COUNTIF(FP!N:N,Doklady!B1&amp;"aB")</f>
        <v>1</v>
      </c>
    </row>
    <row r="39" spans="1:21" x14ac:dyDescent="0.2">
      <c r="A39" s="115" t="s">
        <v>339</v>
      </c>
      <c r="B39" s="116" t="s">
        <v>372</v>
      </c>
      <c r="C39" s="78">
        <f>I39*0.2</f>
        <v>7977.6</v>
      </c>
      <c r="D39" s="78">
        <f>I39*0.2</f>
        <v>7977.6</v>
      </c>
      <c r="E39" s="78">
        <f>I39*0.25</f>
        <v>9972</v>
      </c>
      <c r="F39" s="78">
        <f>+I39*0.15</f>
        <v>5983.2</v>
      </c>
      <c r="G39" s="78">
        <f>+MAX(I39-C39-D39-E39-F39-H39,0)</f>
        <v>7977.6000000000031</v>
      </c>
      <c r="H39" s="78">
        <f>+IFERROR(VLOOKUP(K40&amp;" - kapitálové transfery",B$53:C$90,2,0),0)</f>
        <v>0</v>
      </c>
      <c r="I39" s="73">
        <f>SUMIF(FP!K:K,K40,FP!D:D)</f>
        <v>39888</v>
      </c>
      <c r="L39" s="84">
        <f>COUNTIF(FP!N:N,Doklady!B1&amp;"aK")</f>
        <v>0</v>
      </c>
      <c r="T39" s="86"/>
    </row>
    <row r="40" spans="1:21" x14ac:dyDescent="0.2">
      <c r="A40" s="115" t="s">
        <v>339</v>
      </c>
      <c r="B40" s="116" t="s">
        <v>373</v>
      </c>
      <c r="C40" s="78">
        <f>DSUM(Doklady!A103:J10000,"GGG",Spolu!L40:M42)</f>
        <v>7977.61</v>
      </c>
      <c r="D40" s="78">
        <f>DSUM(Doklady!A103:J10000,"GGG",Spolu!N40:O42)</f>
        <v>7977.7199999999993</v>
      </c>
      <c r="E40" s="78">
        <f>DSUM(Doklady!A103:J10000,"GGG",Spolu!P40:Q42)</f>
        <v>22584.85</v>
      </c>
      <c r="F40" s="78">
        <f>DSUM(Doklady!A103:J10000,"GGG",Spolu!R40:S42)</f>
        <v>1347.8200000000002</v>
      </c>
      <c r="G40" s="78">
        <f>DSUM(Doklady!A103:J10000,"GGG",Spolu!T40:U42)-H40</f>
        <v>0</v>
      </c>
      <c r="H40" s="78">
        <f>+IFERROR(VLOOKUP(K40&amp;" - kapitálové transfery",B$53:D$90,3,0),0)</f>
        <v>0</v>
      </c>
      <c r="I40" s="73">
        <f>+C40+D40+E40+F40+G40+H40</f>
        <v>39887.999999999993</v>
      </c>
      <c r="J40" s="218" t="str">
        <f>+K45</f>
        <v>.</v>
      </c>
      <c r="K40" s="218" t="str">
        <f>IF(L38&gt;0,INDEX(FP!K:K,Doklady!B2),".")</f>
        <v>pretláčanie rukou</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pretláčanie rukou - bežné transfery</v>
      </c>
      <c r="M41" s="120">
        <v>1</v>
      </c>
      <c r="N41" s="161" t="str">
        <f>+L41</f>
        <v>a - pretláčanie rukou - bežné transfery</v>
      </c>
      <c r="O41" s="120">
        <v>2</v>
      </c>
      <c r="P41" s="161" t="str">
        <f>+L41</f>
        <v>a - pretláčanie rukou - bežné transfery</v>
      </c>
      <c r="Q41" s="120">
        <v>3</v>
      </c>
      <c r="R41" s="161" t="str">
        <f>+L41</f>
        <v>a - pretláčanie rukou - bežné transfery</v>
      </c>
      <c r="S41" s="120">
        <v>4</v>
      </c>
      <c r="T41" s="161" t="str">
        <f>+L41</f>
        <v>a - pretláčanie rukou - bežné transfery</v>
      </c>
      <c r="U41" s="120">
        <v>5</v>
      </c>
    </row>
    <row r="42" spans="1:21" ht="10.5" customHeight="1" x14ac:dyDescent="0.2">
      <c r="A42" s="115" t="s">
        <v>339</v>
      </c>
      <c r="B42" s="116" t="s">
        <v>376</v>
      </c>
      <c r="C42" s="73">
        <f>+C40</f>
        <v>7977.61</v>
      </c>
      <c r="D42" s="216">
        <f>+D40</f>
        <v>7977.7199999999993</v>
      </c>
      <c r="E42" s="216">
        <f>+E40</f>
        <v>22584.85</v>
      </c>
      <c r="F42" s="216">
        <f>+MIN(F39:F40)</f>
        <v>1347.8200000000002</v>
      </c>
      <c r="G42" s="216">
        <f>+MIN(G39+MAX(F39-F40,0)-MAX(E40-E39,0)-MAX(D40-D39,0)-MAX(C40-C39,0),G40)</f>
        <v>0</v>
      </c>
      <c r="H42" s="216">
        <f>+MIN(H39:H40)</f>
        <v>0</v>
      </c>
      <c r="I42" s="73">
        <f>+C42+D42+E42+MIN(F39:F40)+G42+H42</f>
        <v>39887.999999999993</v>
      </c>
      <c r="J42" s="219">
        <f>+K47</f>
        <v>0</v>
      </c>
      <c r="K42" s="219">
        <f>+I42-H42</f>
        <v>39887.999999999993</v>
      </c>
      <c r="L42" s="161" t="str">
        <f>+SUBSTITUTE(L41,"bežné","kapitálové")</f>
        <v>a - pretláčanie rukou - kapitálové transfery</v>
      </c>
      <c r="M42" s="120">
        <v>1</v>
      </c>
      <c r="N42" s="161" t="str">
        <f>+L42</f>
        <v>a - pretláčanie rukou - kapitálové transfery</v>
      </c>
      <c r="O42" s="120">
        <v>2</v>
      </c>
      <c r="P42" s="161" t="str">
        <f>+L42</f>
        <v>a - pretláčanie rukou - kapitálové transfery</v>
      </c>
      <c r="Q42" s="120">
        <v>3</v>
      </c>
      <c r="R42" s="161" t="str">
        <f>+L42</f>
        <v>a - pretláčanie rukou - kapitálové transfery</v>
      </c>
      <c r="S42" s="120">
        <v>4</v>
      </c>
      <c r="T42" s="161" t="str">
        <f>+L42</f>
        <v>a - pretláčanie rukou - kapitálové transfery</v>
      </c>
      <c r="U42" s="120">
        <v>5</v>
      </c>
    </row>
    <row r="43" spans="1:21" ht="31.5"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5"/>
      <c r="B50" s="336"/>
      <c r="C50" s="336"/>
      <c r="D50" s="336"/>
      <c r="E50" s="336"/>
      <c r="F50" s="336"/>
      <c r="G50" s="336"/>
      <c r="H50" s="336"/>
      <c r="I50" s="33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pretláčanie rukou - bežné transfery</v>
      </c>
      <c r="C53" s="73">
        <f>IF(A53&lt;&gt;"",INDEX(FP!D:D,Doklady!B$2+(ROW()-53)),"")</f>
        <v>39888</v>
      </c>
      <c r="D53" s="73">
        <f>IF(A53&lt;&gt;"",Doklady!I1-Doklady!J1,"")</f>
        <v>39888</v>
      </c>
      <c r="E53" s="73">
        <f>IF(A53&lt;&gt;"",MIN(D53,C53)*Doklady!C1/(1-Doklady!C1),"")</f>
        <v>0</v>
      </c>
      <c r="F53" s="71">
        <f>IF(A53&lt;&gt;"",Doklady!J1,"")</f>
        <v>0</v>
      </c>
      <c r="G53" s="73">
        <f>+IFERROR(HLOOKUP(IF(RIGHT(B53,15)="bežné transfery",LEFT(B53,LEN(B53)-18),0),$J$40:$K$42,3,0),MIN(C53,D53))</f>
        <v>39887.999999999993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39888</v>
      </c>
      <c r="D130" s="228">
        <f t="shared" ref="D130:I130" si="9">SUM(D53:D129)</f>
        <v>39888</v>
      </c>
      <c r="E130" s="228">
        <f t="shared" si="9"/>
        <v>0</v>
      </c>
      <c r="F130" s="228">
        <f t="shared" si="9"/>
        <v>0</v>
      </c>
      <c r="G130" s="228">
        <f t="shared" si="9"/>
        <v>39887.999999999993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81"/>
      <c r="C140" s="229"/>
      <c r="D140" s="352" t="s">
        <v>2468</v>
      </c>
      <c r="E140" s="352"/>
      <c r="F140" s="352"/>
      <c r="G140" s="352"/>
      <c r="H140" s="352"/>
      <c r="I140" s="352"/>
      <c r="J140" s="85"/>
    </row>
    <row r="141" spans="1:26" ht="68.25" customHeight="1" x14ac:dyDescent="0.25">
      <c r="A141" s="9"/>
      <c r="B141" s="283" t="s">
        <v>2467</v>
      </c>
      <c r="C141" s="214"/>
      <c r="D141" s="332" t="s">
        <v>393</v>
      </c>
      <c r="E141" s="332"/>
      <c r="F141" s="332"/>
      <c r="G141" s="332"/>
      <c r="H141" s="332"/>
      <c r="I141" s="332"/>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45" zoomScaleNormal="100" workbookViewId="0">
      <selection activeCell="A100" sqref="A100:J163"/>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5.453125" style="91" customWidth="1"/>
    <col min="12" max="25" width="5.453125" style="90" customWidth="1"/>
    <col min="26" max="16384" width="11.453125" style="8"/>
  </cols>
  <sheetData>
    <row r="1" spans="1:25" s="6" customFormat="1" ht="10.5" hidden="1" thickBot="1" x14ac:dyDescent="0.25">
      <c r="A1" s="231" t="str">
        <f>IF(ROW()&lt;=B$3,INDEX(FP!F:F,B$2+ROW()-1)&amp;" - "&amp;INDEX(FP!C:C,B$2+ROW()-1),"")</f>
        <v>a - pretláčanie rukou - bežné transfery</v>
      </c>
      <c r="B1" s="232" t="str">
        <f>INDEX(Adr!A:A,B102+1)</f>
        <v>30811686</v>
      </c>
      <c r="C1" s="233">
        <f>IF(ROW()&lt;=B$3,INDEX(FP!E:E,B$2+ROW()-1),"")</f>
        <v>0</v>
      </c>
      <c r="D1" s="234" t="str">
        <f>IF(ROW()&lt;=B$3,INDEX(FP!F:F,B$2+ROW()-1),"")</f>
        <v>a</v>
      </c>
      <c r="E1" s="234"/>
      <c r="F1" s="234" t="str">
        <f>IF(ROW()&lt;=B$3,INDEX(FP!G:G,B$2+ROW()-1),"")</f>
        <v>026 02</v>
      </c>
      <c r="G1" s="234"/>
      <c r="H1" s="235" t="str">
        <f>IF(ROW()&lt;=B$3,INDEX(FP!C:C,B$2+ROW()-1),"")</f>
        <v>pretláčanie rukou - bežné transfery</v>
      </c>
      <c r="I1" s="236">
        <f t="shared" ref="I1:I6" si="0">IF(ROW()&lt;=B$3,SUMIF(A$107:A$10042,A1,I$107:I$10042),"")</f>
        <v>39888</v>
      </c>
      <c r="J1" s="236">
        <f t="shared" ref="J1:J32" si="1">IF(ROW()&lt;=B$3,SUMIFS(I$103:I$50042,A$103:A$50042,K1,J$103:J$50042,L1),"")</f>
        <v>0</v>
      </c>
      <c r="K1" s="110" t="str">
        <f>$A1</f>
        <v>a - pretláčanie rukou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59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63" t="s">
        <v>329</v>
      </c>
      <c r="B100" s="363"/>
      <c r="C100" s="363"/>
      <c r="D100" s="363"/>
      <c r="E100" s="363"/>
      <c r="F100" s="363"/>
      <c r="G100" s="363"/>
      <c r="H100" s="363"/>
      <c r="I100" s="365" t="s">
        <v>2270</v>
      </c>
      <c r="J100" s="365"/>
      <c r="K100" s="89"/>
    </row>
    <row r="101" spans="1:25" ht="15.5" x14ac:dyDescent="0.35">
      <c r="A101" s="363"/>
      <c r="B101" s="363"/>
      <c r="C101" s="363"/>
      <c r="D101" s="363"/>
      <c r="E101" s="363"/>
      <c r="F101" s="363"/>
      <c r="G101" s="363"/>
      <c r="H101" s="363"/>
      <c r="I101" s="364">
        <v>45887</v>
      </c>
      <c r="J101" s="364"/>
    </row>
    <row r="102" spans="1:25" ht="14" x14ac:dyDescent="0.3">
      <c r="A102" s="249" t="s">
        <v>398</v>
      </c>
      <c r="B102" s="250">
        <v>38</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66" t="s">
        <v>407</v>
      </c>
      <c r="B105" s="367"/>
      <c r="C105" s="367"/>
      <c r="D105" s="367"/>
      <c r="E105" s="367"/>
      <c r="F105" s="367"/>
      <c r="G105" s="367"/>
      <c r="H105" s="367"/>
      <c r="I105" s="367"/>
      <c r="J105" s="36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2292</v>
      </c>
      <c r="B107" s="14" t="s">
        <v>2413</v>
      </c>
      <c r="C107" s="14" t="s">
        <v>2293</v>
      </c>
      <c r="D107" s="16">
        <v>45867</v>
      </c>
      <c r="E107" s="16"/>
      <c r="F107" s="14" t="s">
        <v>2294</v>
      </c>
      <c r="G107" s="14" t="s">
        <v>2295</v>
      </c>
      <c r="H107" s="14" t="s">
        <v>2296</v>
      </c>
      <c r="I107" s="15">
        <v>184.5</v>
      </c>
      <c r="J107" s="77">
        <v>4</v>
      </c>
      <c r="K107" s="92"/>
    </row>
    <row r="108" spans="1:25" ht="12.5" x14ac:dyDescent="0.25">
      <c r="A108" s="14" t="s">
        <v>2292</v>
      </c>
      <c r="B108" s="14" t="s">
        <v>2414</v>
      </c>
      <c r="C108" s="14" t="s">
        <v>2297</v>
      </c>
      <c r="D108" s="16">
        <v>45869</v>
      </c>
      <c r="E108" s="16"/>
      <c r="F108" s="14" t="s">
        <v>177</v>
      </c>
      <c r="G108" s="14" t="s">
        <v>2298</v>
      </c>
      <c r="H108" s="14" t="s">
        <v>2299</v>
      </c>
      <c r="I108" s="15">
        <v>15.87</v>
      </c>
      <c r="J108" s="77">
        <v>4</v>
      </c>
      <c r="K108" s="92"/>
    </row>
    <row r="109" spans="1:25" ht="12.5" x14ac:dyDescent="0.25">
      <c r="A109" s="14" t="s">
        <v>2292</v>
      </c>
      <c r="B109" s="14" t="s">
        <v>2414</v>
      </c>
      <c r="C109" s="14" t="s">
        <v>2297</v>
      </c>
      <c r="D109" s="16">
        <v>45869</v>
      </c>
      <c r="E109" s="16"/>
      <c r="F109" s="14" t="s">
        <v>2300</v>
      </c>
      <c r="G109" s="14" t="s">
        <v>2298</v>
      </c>
      <c r="H109" s="14" t="s">
        <v>2299</v>
      </c>
      <c r="I109" s="15">
        <v>0.81</v>
      </c>
      <c r="J109" s="77">
        <v>4</v>
      </c>
      <c r="K109" s="92"/>
    </row>
    <row r="110" spans="1:25" ht="60" x14ac:dyDescent="0.25">
      <c r="A110" s="14" t="s">
        <v>2292</v>
      </c>
      <c r="B110" s="14" t="s">
        <v>2415</v>
      </c>
      <c r="C110" s="14" t="s">
        <v>2301</v>
      </c>
      <c r="D110" s="16">
        <v>45871</v>
      </c>
      <c r="E110" s="16"/>
      <c r="F110" s="14" t="s">
        <v>2303</v>
      </c>
      <c r="G110" s="14" t="s">
        <v>509</v>
      </c>
      <c r="H110" s="14" t="s">
        <v>2302</v>
      </c>
      <c r="I110" s="15">
        <v>1058.04</v>
      </c>
      <c r="J110" s="77">
        <v>3</v>
      </c>
      <c r="K110" s="92"/>
    </row>
    <row r="111" spans="1:25" ht="60" x14ac:dyDescent="0.25">
      <c r="A111" s="14" t="s">
        <v>2292</v>
      </c>
      <c r="B111" s="14" t="s">
        <v>2416</v>
      </c>
      <c r="C111" s="14" t="s">
        <v>2304</v>
      </c>
      <c r="D111" s="16">
        <v>45871</v>
      </c>
      <c r="E111" s="16"/>
      <c r="F111" s="14" t="s">
        <v>2305</v>
      </c>
      <c r="G111" s="14" t="s">
        <v>509</v>
      </c>
      <c r="H111" s="14" t="s">
        <v>2302</v>
      </c>
      <c r="I111" s="15">
        <v>1106.1400000000001</v>
      </c>
      <c r="J111" s="77">
        <v>3</v>
      </c>
      <c r="K111" s="92"/>
    </row>
    <row r="112" spans="1:25" ht="50" x14ac:dyDescent="0.25">
      <c r="A112" s="14" t="s">
        <v>2292</v>
      </c>
      <c r="B112" s="14" t="s">
        <v>2417</v>
      </c>
      <c r="C112" s="14" t="s">
        <v>2306</v>
      </c>
      <c r="D112" s="16">
        <v>45871</v>
      </c>
      <c r="E112" s="16"/>
      <c r="F112" s="14" t="s">
        <v>2307</v>
      </c>
      <c r="G112" s="14" t="s">
        <v>509</v>
      </c>
      <c r="H112" s="14" t="s">
        <v>2302</v>
      </c>
      <c r="I112" s="15">
        <v>316.04000000000002</v>
      </c>
      <c r="J112" s="77">
        <v>3</v>
      </c>
      <c r="K112" s="92"/>
    </row>
    <row r="113" spans="1:11" ht="60" x14ac:dyDescent="0.25">
      <c r="A113" s="14" t="s">
        <v>2292</v>
      </c>
      <c r="B113" s="14" t="s">
        <v>2418</v>
      </c>
      <c r="C113" s="14" t="s">
        <v>2308</v>
      </c>
      <c r="D113" s="16">
        <v>45874</v>
      </c>
      <c r="E113" s="16"/>
      <c r="F113" s="14" t="s">
        <v>2309</v>
      </c>
      <c r="G113" s="14" t="s">
        <v>509</v>
      </c>
      <c r="H113" s="14" t="s">
        <v>2302</v>
      </c>
      <c r="I113" s="15">
        <v>610.20000000000005</v>
      </c>
      <c r="J113" s="77">
        <v>3</v>
      </c>
      <c r="K113" s="92"/>
    </row>
    <row r="114" spans="1:11" ht="50" x14ac:dyDescent="0.25">
      <c r="A114" s="14" t="s">
        <v>2292</v>
      </c>
      <c r="B114" s="14" t="s">
        <v>2419</v>
      </c>
      <c r="C114" s="14" t="s">
        <v>2310</v>
      </c>
      <c r="D114" s="16">
        <v>45874</v>
      </c>
      <c r="E114" s="16"/>
      <c r="F114" s="14" t="s">
        <v>2311</v>
      </c>
      <c r="G114" s="14" t="s">
        <v>509</v>
      </c>
      <c r="H114" s="14" t="s">
        <v>2302</v>
      </c>
      <c r="I114" s="15">
        <v>85.82</v>
      </c>
      <c r="J114" s="77">
        <v>3</v>
      </c>
      <c r="K114" s="92"/>
    </row>
    <row r="115" spans="1:11" ht="50" x14ac:dyDescent="0.25">
      <c r="A115" s="14" t="s">
        <v>2292</v>
      </c>
      <c r="B115" s="14" t="s">
        <v>2420</v>
      </c>
      <c r="C115" s="14" t="s">
        <v>2312</v>
      </c>
      <c r="D115" s="16">
        <v>45874</v>
      </c>
      <c r="E115" s="16"/>
      <c r="F115" s="14" t="s">
        <v>2313</v>
      </c>
      <c r="G115" s="14" t="s">
        <v>509</v>
      </c>
      <c r="H115" s="14" t="s">
        <v>2302</v>
      </c>
      <c r="I115" s="15">
        <v>255.48</v>
      </c>
      <c r="J115" s="77">
        <v>3</v>
      </c>
      <c r="K115" s="92"/>
    </row>
    <row r="116" spans="1:11" ht="50" x14ac:dyDescent="0.25">
      <c r="A116" s="14" t="s">
        <v>2292</v>
      </c>
      <c r="B116" s="14" t="s">
        <v>2421</v>
      </c>
      <c r="C116" s="14" t="s">
        <v>2314</v>
      </c>
      <c r="D116" s="16">
        <v>45874</v>
      </c>
      <c r="E116" s="16"/>
      <c r="F116" s="14" t="s">
        <v>2315</v>
      </c>
      <c r="G116" s="14" t="s">
        <v>509</v>
      </c>
      <c r="H116" s="14" t="s">
        <v>2302</v>
      </c>
      <c r="I116" s="15">
        <v>141.04</v>
      </c>
      <c r="J116" s="77">
        <v>3</v>
      </c>
      <c r="K116" s="92"/>
    </row>
    <row r="117" spans="1:11" ht="50" x14ac:dyDescent="0.25">
      <c r="A117" s="14" t="s">
        <v>2292</v>
      </c>
      <c r="B117" s="14" t="s">
        <v>2422</v>
      </c>
      <c r="C117" s="14" t="s">
        <v>2316</v>
      </c>
      <c r="D117" s="16">
        <v>45880</v>
      </c>
      <c r="E117" s="16"/>
      <c r="F117" s="14" t="s">
        <v>2315</v>
      </c>
      <c r="G117" s="14" t="s">
        <v>509</v>
      </c>
      <c r="H117" s="14" t="s">
        <v>2302</v>
      </c>
      <c r="I117" s="15">
        <v>395.17</v>
      </c>
      <c r="J117" s="77">
        <v>3</v>
      </c>
      <c r="K117" s="92"/>
    </row>
    <row r="118" spans="1:11" ht="50" x14ac:dyDescent="0.25">
      <c r="A118" s="14" t="s">
        <v>2292</v>
      </c>
      <c r="B118" s="14" t="s">
        <v>2423</v>
      </c>
      <c r="C118" s="14" t="s">
        <v>2317</v>
      </c>
      <c r="D118" s="16">
        <v>45880</v>
      </c>
      <c r="E118" s="16"/>
      <c r="F118" s="14" t="s">
        <v>2315</v>
      </c>
      <c r="G118" s="14" t="s">
        <v>509</v>
      </c>
      <c r="H118" s="14" t="s">
        <v>2302</v>
      </c>
      <c r="I118" s="15">
        <v>381.17</v>
      </c>
      <c r="J118" s="77">
        <v>3</v>
      </c>
      <c r="K118" s="92"/>
    </row>
    <row r="119" spans="1:11" ht="20" x14ac:dyDescent="0.25">
      <c r="A119" s="14" t="s">
        <v>2292</v>
      </c>
      <c r="B119" s="14" t="s">
        <v>2424</v>
      </c>
      <c r="C119" s="14" t="s">
        <v>2318</v>
      </c>
      <c r="D119" s="16">
        <v>45895</v>
      </c>
      <c r="E119" s="16"/>
      <c r="F119" s="14" t="s">
        <v>2294</v>
      </c>
      <c r="G119" s="14" t="s">
        <v>2295</v>
      </c>
      <c r="H119" s="14" t="s">
        <v>2296</v>
      </c>
      <c r="I119" s="15">
        <v>184.5</v>
      </c>
      <c r="J119" s="77">
        <v>4</v>
      </c>
      <c r="K119" s="92"/>
    </row>
    <row r="120" spans="1:11" ht="70" x14ac:dyDescent="0.25">
      <c r="A120" s="14" t="s">
        <v>2292</v>
      </c>
      <c r="B120" s="14" t="s">
        <v>2425</v>
      </c>
      <c r="C120" s="14" t="s">
        <v>2319</v>
      </c>
      <c r="D120" s="16">
        <v>45895</v>
      </c>
      <c r="E120" s="16"/>
      <c r="F120" s="14" t="s">
        <v>2322</v>
      </c>
      <c r="G120" s="14" t="s">
        <v>2320</v>
      </c>
      <c r="H120" s="14" t="s">
        <v>2321</v>
      </c>
      <c r="I120" s="15">
        <v>491.5</v>
      </c>
      <c r="J120" s="77">
        <v>3</v>
      </c>
      <c r="K120" s="92"/>
    </row>
    <row r="121" spans="1:11" ht="50" x14ac:dyDescent="0.25">
      <c r="A121" s="14" t="s">
        <v>2292</v>
      </c>
      <c r="B121" s="14" t="s">
        <v>2426</v>
      </c>
      <c r="C121" s="14" t="s">
        <v>2323</v>
      </c>
      <c r="D121" s="16">
        <v>45895</v>
      </c>
      <c r="E121" s="16"/>
      <c r="F121" s="14" t="s">
        <v>2324</v>
      </c>
      <c r="G121" s="14" t="s">
        <v>2325</v>
      </c>
      <c r="H121" s="14" t="s">
        <v>2326</v>
      </c>
      <c r="I121" s="15">
        <v>7529</v>
      </c>
      <c r="J121" s="77">
        <v>3</v>
      </c>
      <c r="K121" s="92"/>
    </row>
    <row r="122" spans="1:11" ht="60" x14ac:dyDescent="0.25">
      <c r="A122" s="14" t="s">
        <v>2292</v>
      </c>
      <c r="B122" s="14" t="s">
        <v>2426</v>
      </c>
      <c r="C122" s="14" t="s">
        <v>2323</v>
      </c>
      <c r="D122" s="16">
        <v>45895</v>
      </c>
      <c r="E122" s="16"/>
      <c r="F122" s="14" t="s">
        <v>2352</v>
      </c>
      <c r="G122" s="14" t="s">
        <v>2325</v>
      </c>
      <c r="H122" s="14" t="s">
        <v>2326</v>
      </c>
      <c r="I122" s="15">
        <v>464.82</v>
      </c>
      <c r="J122" s="77">
        <v>2</v>
      </c>
      <c r="K122" s="92"/>
    </row>
    <row r="123" spans="1:11" ht="12.5" x14ac:dyDescent="0.25">
      <c r="A123" s="14" t="s">
        <v>2292</v>
      </c>
      <c r="B123" s="14" t="s">
        <v>2427</v>
      </c>
      <c r="C123" s="14" t="s">
        <v>2327</v>
      </c>
      <c r="D123" s="16">
        <v>45900</v>
      </c>
      <c r="E123" s="16"/>
      <c r="F123" s="14" t="s">
        <v>177</v>
      </c>
      <c r="G123" s="14" t="s">
        <v>2298</v>
      </c>
      <c r="H123" s="14" t="s">
        <v>2299</v>
      </c>
      <c r="I123" s="15">
        <v>11.79</v>
      </c>
      <c r="J123" s="77">
        <v>4</v>
      </c>
      <c r="K123" s="92"/>
    </row>
    <row r="124" spans="1:11" ht="12.5" x14ac:dyDescent="0.25">
      <c r="A124" s="14" t="s">
        <v>2292</v>
      </c>
      <c r="B124" s="14" t="s">
        <v>2427</v>
      </c>
      <c r="C124" s="14" t="s">
        <v>2327</v>
      </c>
      <c r="D124" s="16">
        <v>45900</v>
      </c>
      <c r="E124" s="16"/>
      <c r="F124" s="14" t="s">
        <v>2300</v>
      </c>
      <c r="G124" s="14" t="s">
        <v>2298</v>
      </c>
      <c r="H124" s="14" t="s">
        <v>2299</v>
      </c>
      <c r="I124" s="15">
        <v>60.16</v>
      </c>
      <c r="J124" s="77">
        <v>4</v>
      </c>
      <c r="K124" s="92"/>
    </row>
    <row r="125" spans="1:11" ht="20" x14ac:dyDescent="0.25">
      <c r="A125" s="14" t="s">
        <v>2292</v>
      </c>
      <c r="B125" s="14" t="s">
        <v>2428</v>
      </c>
      <c r="C125" s="14" t="s">
        <v>2329</v>
      </c>
      <c r="D125" s="16">
        <v>45906</v>
      </c>
      <c r="E125" s="16"/>
      <c r="F125" s="14" t="s">
        <v>2294</v>
      </c>
      <c r="G125" s="14" t="s">
        <v>2295</v>
      </c>
      <c r="H125" s="14" t="s">
        <v>2296</v>
      </c>
      <c r="I125" s="15">
        <v>184.5</v>
      </c>
      <c r="J125" s="77">
        <v>4</v>
      </c>
      <c r="K125" s="92"/>
    </row>
    <row r="126" spans="1:11" ht="90" x14ac:dyDescent="0.25">
      <c r="A126" s="14" t="s">
        <v>2292</v>
      </c>
      <c r="B126" s="14" t="s">
        <v>2445</v>
      </c>
      <c r="C126" s="14" t="s">
        <v>2330</v>
      </c>
      <c r="D126" s="16">
        <v>45906</v>
      </c>
      <c r="E126" s="16"/>
      <c r="F126" s="14" t="s">
        <v>2331</v>
      </c>
      <c r="G126" s="14"/>
      <c r="H126" s="14" t="s">
        <v>2332</v>
      </c>
      <c r="I126" s="15">
        <v>571.82000000000005</v>
      </c>
      <c r="J126" s="77">
        <v>3</v>
      </c>
      <c r="K126" s="92"/>
    </row>
    <row r="127" spans="1:11" ht="12.5" x14ac:dyDescent="0.25">
      <c r="A127" s="14" t="s">
        <v>2292</v>
      </c>
      <c r="B127" s="14" t="s">
        <v>2432</v>
      </c>
      <c r="C127" s="14" t="s">
        <v>2328</v>
      </c>
      <c r="D127" s="16">
        <v>45930</v>
      </c>
      <c r="E127" s="16"/>
      <c r="F127" s="14" t="s">
        <v>177</v>
      </c>
      <c r="G127" s="14" t="s">
        <v>2298</v>
      </c>
      <c r="H127" s="14" t="s">
        <v>2299</v>
      </c>
      <c r="I127" s="15">
        <v>16.09</v>
      </c>
      <c r="J127" s="77">
        <v>4</v>
      </c>
      <c r="K127" s="92"/>
    </row>
    <row r="128" spans="1:11" ht="12.5" x14ac:dyDescent="0.25">
      <c r="A128" s="14" t="s">
        <v>2292</v>
      </c>
      <c r="B128" s="14" t="s">
        <v>2432</v>
      </c>
      <c r="C128" s="14" t="s">
        <v>2328</v>
      </c>
      <c r="D128" s="16">
        <v>45930</v>
      </c>
      <c r="E128" s="16"/>
      <c r="F128" s="14" t="s">
        <v>2300</v>
      </c>
      <c r="G128" s="14" t="s">
        <v>2298</v>
      </c>
      <c r="H128" s="14" t="s">
        <v>2299</v>
      </c>
      <c r="I128" s="15">
        <v>3.11</v>
      </c>
      <c r="J128" s="77">
        <v>4</v>
      </c>
      <c r="K128" s="92"/>
    </row>
    <row r="129" spans="1:11" ht="50" x14ac:dyDescent="0.25">
      <c r="A129" s="14" t="s">
        <v>2292</v>
      </c>
      <c r="B129" s="14" t="s">
        <v>2429</v>
      </c>
      <c r="C129" s="14" t="s">
        <v>2333</v>
      </c>
      <c r="D129" s="16">
        <v>45937</v>
      </c>
      <c r="E129" s="16"/>
      <c r="F129" s="14" t="s">
        <v>2336</v>
      </c>
      <c r="G129" s="14" t="s">
        <v>2334</v>
      </c>
      <c r="H129" s="14" t="s">
        <v>2335</v>
      </c>
      <c r="I129" s="15">
        <v>93.5</v>
      </c>
      <c r="J129" s="77">
        <v>3</v>
      </c>
      <c r="K129" s="92"/>
    </row>
    <row r="130" spans="1:11" ht="50" x14ac:dyDescent="0.25">
      <c r="A130" s="14" t="s">
        <v>2292</v>
      </c>
      <c r="B130" s="14" t="s">
        <v>2431</v>
      </c>
      <c r="C130" s="14" t="s">
        <v>2337</v>
      </c>
      <c r="D130" s="16">
        <v>45937</v>
      </c>
      <c r="E130" s="16"/>
      <c r="F130" s="14" t="s">
        <v>2338</v>
      </c>
      <c r="G130" s="14" t="s">
        <v>2334</v>
      </c>
      <c r="H130" s="14" t="s">
        <v>2335</v>
      </c>
      <c r="I130" s="15">
        <v>85</v>
      </c>
      <c r="J130" s="77">
        <v>3</v>
      </c>
      <c r="K130" s="92"/>
    </row>
    <row r="131" spans="1:11" ht="20" x14ac:dyDescent="0.25">
      <c r="A131" s="14" t="s">
        <v>2292</v>
      </c>
      <c r="B131" s="14" t="s">
        <v>2434</v>
      </c>
      <c r="C131" s="14" t="s">
        <v>2339</v>
      </c>
      <c r="D131" s="16">
        <v>45959</v>
      </c>
      <c r="E131" s="16"/>
      <c r="F131" s="14" t="s">
        <v>2294</v>
      </c>
      <c r="G131" s="14" t="s">
        <v>2295</v>
      </c>
      <c r="H131" s="14" t="s">
        <v>2296</v>
      </c>
      <c r="I131" s="15">
        <v>184.5</v>
      </c>
      <c r="J131" s="77">
        <v>4</v>
      </c>
      <c r="K131" s="92"/>
    </row>
    <row r="132" spans="1:11" ht="50" x14ac:dyDescent="0.25">
      <c r="A132" s="14" t="s">
        <v>2292</v>
      </c>
      <c r="B132" s="14" t="s">
        <v>2430</v>
      </c>
      <c r="C132" s="14" t="s">
        <v>2342</v>
      </c>
      <c r="D132" s="16">
        <v>45959</v>
      </c>
      <c r="E132" s="16"/>
      <c r="F132" s="14" t="s">
        <v>2343</v>
      </c>
      <c r="G132" s="14" t="s">
        <v>2340</v>
      </c>
      <c r="H132" s="14" t="s">
        <v>2341</v>
      </c>
      <c r="I132" s="15">
        <v>2000</v>
      </c>
      <c r="J132" s="77">
        <v>3</v>
      </c>
      <c r="K132" s="92"/>
    </row>
    <row r="133" spans="1:11" ht="90" x14ac:dyDescent="0.25">
      <c r="A133" s="14" t="s">
        <v>2292</v>
      </c>
      <c r="B133" s="14" t="s">
        <v>2446</v>
      </c>
      <c r="C133" s="14" t="s">
        <v>2344</v>
      </c>
      <c r="D133" s="16" t="s">
        <v>2345</v>
      </c>
      <c r="E133" s="16"/>
      <c r="F133" s="14" t="s">
        <v>2346</v>
      </c>
      <c r="G133" s="14"/>
      <c r="H133" s="14" t="s">
        <v>2332</v>
      </c>
      <c r="I133" s="15">
        <v>464.93</v>
      </c>
      <c r="J133" s="77">
        <v>3</v>
      </c>
      <c r="K133" s="92"/>
    </row>
    <row r="134" spans="1:11" ht="60" x14ac:dyDescent="0.25">
      <c r="A134" s="14" t="s">
        <v>2292</v>
      </c>
      <c r="B134" s="14" t="s">
        <v>2433</v>
      </c>
      <c r="C134" s="14" t="s">
        <v>2347</v>
      </c>
      <c r="D134" s="16">
        <v>45959</v>
      </c>
      <c r="E134" s="16"/>
      <c r="F134" s="14" t="s">
        <v>2348</v>
      </c>
      <c r="G134" s="14" t="s">
        <v>2349</v>
      </c>
      <c r="H134" s="14" t="s">
        <v>2350</v>
      </c>
      <c r="I134" s="15">
        <v>2000</v>
      </c>
      <c r="J134" s="77">
        <v>3</v>
      </c>
      <c r="K134" s="92"/>
    </row>
    <row r="135" spans="1:11" ht="12.5" x14ac:dyDescent="0.25">
      <c r="A135" s="14" t="s">
        <v>2292</v>
      </c>
      <c r="B135" s="14" t="s">
        <v>2447</v>
      </c>
      <c r="C135" s="14" t="s">
        <v>2351</v>
      </c>
      <c r="D135" s="16">
        <v>45961</v>
      </c>
      <c r="E135" s="16"/>
      <c r="F135" s="14" t="s">
        <v>177</v>
      </c>
      <c r="G135" s="14" t="s">
        <v>2298</v>
      </c>
      <c r="H135" s="14" t="s">
        <v>2299</v>
      </c>
      <c r="I135" s="15">
        <v>16.97</v>
      </c>
      <c r="J135" s="77">
        <v>4</v>
      </c>
      <c r="K135" s="92"/>
    </row>
    <row r="136" spans="1:11" ht="12.5" x14ac:dyDescent="0.25">
      <c r="A136" s="14" t="s">
        <v>2292</v>
      </c>
      <c r="B136" s="14" t="s">
        <v>2447</v>
      </c>
      <c r="C136" s="14" t="s">
        <v>2351</v>
      </c>
      <c r="D136" s="16">
        <v>45961</v>
      </c>
      <c r="E136" s="16"/>
      <c r="F136" s="14" t="s">
        <v>2300</v>
      </c>
      <c r="G136" s="14" t="s">
        <v>2298</v>
      </c>
      <c r="H136" s="14" t="s">
        <v>2299</v>
      </c>
      <c r="I136" s="15">
        <v>19.39</v>
      </c>
      <c r="J136" s="77">
        <v>4</v>
      </c>
      <c r="K136" s="92"/>
    </row>
    <row r="137" spans="1:11" ht="50" x14ac:dyDescent="0.25">
      <c r="A137" s="14" t="s">
        <v>2292</v>
      </c>
      <c r="B137" s="14" t="s">
        <v>2435</v>
      </c>
      <c r="C137" s="314" t="s">
        <v>2356</v>
      </c>
      <c r="D137" s="315">
        <v>45975</v>
      </c>
      <c r="E137" s="315"/>
      <c r="F137" s="314" t="s">
        <v>2357</v>
      </c>
      <c r="G137" s="314" t="s">
        <v>2358</v>
      </c>
      <c r="H137" s="314" t="s">
        <v>2359</v>
      </c>
      <c r="I137" s="15">
        <v>250</v>
      </c>
      <c r="J137" s="77">
        <v>3</v>
      </c>
      <c r="K137" s="92"/>
    </row>
    <row r="138" spans="1:11" ht="40" x14ac:dyDescent="0.25">
      <c r="A138" s="14" t="s">
        <v>2292</v>
      </c>
      <c r="B138" s="14" t="s">
        <v>2437</v>
      </c>
      <c r="C138" s="14" t="s">
        <v>2360</v>
      </c>
      <c r="D138" s="16">
        <v>45975</v>
      </c>
      <c r="E138" s="16"/>
      <c r="F138" s="14" t="s">
        <v>2361</v>
      </c>
      <c r="G138" s="14" t="s">
        <v>2362</v>
      </c>
      <c r="H138" s="14" t="s">
        <v>2363</v>
      </c>
      <c r="I138" s="15">
        <v>2000</v>
      </c>
      <c r="J138" s="77">
        <v>3</v>
      </c>
      <c r="K138" s="92"/>
    </row>
    <row r="139" spans="1:11" ht="30" x14ac:dyDescent="0.25">
      <c r="A139" s="14" t="s">
        <v>2292</v>
      </c>
      <c r="B139" s="14" t="s">
        <v>2465</v>
      </c>
      <c r="C139" s="14" t="s">
        <v>2355</v>
      </c>
      <c r="D139" s="16">
        <v>45978</v>
      </c>
      <c r="E139" s="16"/>
      <c r="F139" s="14" t="s">
        <v>2353</v>
      </c>
      <c r="G139" s="14">
        <v>42404266</v>
      </c>
      <c r="H139" s="14" t="s">
        <v>2354</v>
      </c>
      <c r="I139" s="15">
        <v>74.599999999999994</v>
      </c>
      <c r="J139" s="77">
        <v>1</v>
      </c>
      <c r="K139" s="92"/>
    </row>
    <row r="140" spans="1:11" ht="30" x14ac:dyDescent="0.25">
      <c r="A140" s="14" t="s">
        <v>2292</v>
      </c>
      <c r="B140" s="14" t="s">
        <v>2449</v>
      </c>
      <c r="C140" s="14" t="s">
        <v>2364</v>
      </c>
      <c r="D140" s="16">
        <v>45978</v>
      </c>
      <c r="E140" s="16"/>
      <c r="F140" s="14" t="s">
        <v>2365</v>
      </c>
      <c r="G140" s="14" t="s">
        <v>2358</v>
      </c>
      <c r="H140" s="14" t="s">
        <v>2359</v>
      </c>
      <c r="I140" s="15">
        <v>1869.1</v>
      </c>
      <c r="J140" s="77">
        <v>2</v>
      </c>
      <c r="K140" s="92"/>
    </row>
    <row r="141" spans="1:11" ht="30" x14ac:dyDescent="0.25">
      <c r="A141" s="14" t="s">
        <v>2292</v>
      </c>
      <c r="B141" s="14" t="s">
        <v>2448</v>
      </c>
      <c r="C141" s="14" t="s">
        <v>2366</v>
      </c>
      <c r="D141" s="16">
        <v>45978</v>
      </c>
      <c r="E141" s="16"/>
      <c r="F141" s="14" t="s">
        <v>2365</v>
      </c>
      <c r="G141" s="14" t="s">
        <v>2367</v>
      </c>
      <c r="H141" s="14" t="s">
        <v>2354</v>
      </c>
      <c r="I141" s="15">
        <v>669.1</v>
      </c>
      <c r="J141" s="77">
        <v>2</v>
      </c>
      <c r="K141" s="92"/>
    </row>
    <row r="142" spans="1:11" ht="30" x14ac:dyDescent="0.25">
      <c r="A142" s="14" t="s">
        <v>2292</v>
      </c>
      <c r="B142" s="14" t="s">
        <v>2450</v>
      </c>
      <c r="C142" s="14" t="s">
        <v>2368</v>
      </c>
      <c r="D142" s="16">
        <v>45978</v>
      </c>
      <c r="E142" s="16"/>
      <c r="F142" s="14" t="s">
        <v>2369</v>
      </c>
      <c r="G142" s="14" t="s">
        <v>2349</v>
      </c>
      <c r="H142" s="14" t="s">
        <v>2350</v>
      </c>
      <c r="I142" s="15">
        <v>1335.4</v>
      </c>
      <c r="J142" s="77">
        <v>2</v>
      </c>
      <c r="K142" s="92"/>
    </row>
    <row r="143" spans="1:11" ht="12.5" x14ac:dyDescent="0.25">
      <c r="A143" s="14" t="s">
        <v>2292</v>
      </c>
      <c r="B143" s="6" t="s">
        <v>2451</v>
      </c>
      <c r="C143" s="14" t="s">
        <v>2370</v>
      </c>
      <c r="D143" s="16">
        <v>45991</v>
      </c>
      <c r="E143" s="16"/>
      <c r="F143" s="14" t="s">
        <v>177</v>
      </c>
      <c r="G143" s="14" t="s">
        <v>2298</v>
      </c>
      <c r="H143" s="14" t="s">
        <v>2299</v>
      </c>
      <c r="I143" s="15">
        <v>17.190000000000001</v>
      </c>
      <c r="J143" s="77">
        <v>4</v>
      </c>
      <c r="K143" s="92"/>
    </row>
    <row r="144" spans="1:11" ht="12.5" x14ac:dyDescent="0.25">
      <c r="A144" s="14" t="s">
        <v>2292</v>
      </c>
      <c r="B144" s="6" t="s">
        <v>2451</v>
      </c>
      <c r="C144" s="14" t="s">
        <v>2370</v>
      </c>
      <c r="D144" s="16">
        <v>45991</v>
      </c>
      <c r="E144" s="16"/>
      <c r="F144" s="14" t="s">
        <v>2300</v>
      </c>
      <c r="G144" s="14" t="s">
        <v>2298</v>
      </c>
      <c r="H144" s="14" t="s">
        <v>2299</v>
      </c>
      <c r="I144" s="15">
        <v>44.52</v>
      </c>
      <c r="J144" s="77">
        <v>4</v>
      </c>
      <c r="K144" s="92"/>
    </row>
    <row r="145" spans="1:11" ht="30" x14ac:dyDescent="0.25">
      <c r="A145" s="14" t="s">
        <v>2292</v>
      </c>
      <c r="B145" s="14" t="s">
        <v>2452</v>
      </c>
      <c r="C145" s="14" t="s">
        <v>2371</v>
      </c>
      <c r="D145" s="16">
        <v>45992</v>
      </c>
      <c r="E145" s="16"/>
      <c r="F145" s="14" t="s">
        <v>2385</v>
      </c>
      <c r="G145" s="14" t="s">
        <v>2358</v>
      </c>
      <c r="H145" s="14" t="s">
        <v>2359</v>
      </c>
      <c r="I145" s="15">
        <v>3161.6</v>
      </c>
      <c r="J145" s="77">
        <v>1</v>
      </c>
      <c r="K145" s="92"/>
    </row>
    <row r="146" spans="1:11" ht="20" x14ac:dyDescent="0.25">
      <c r="A146" s="14" t="s">
        <v>2292</v>
      </c>
      <c r="B146" s="14" t="s">
        <v>2436</v>
      </c>
      <c r="C146" s="14" t="s">
        <v>2386</v>
      </c>
      <c r="D146" s="16">
        <v>45992</v>
      </c>
      <c r="E146" s="16"/>
      <c r="F146" s="14" t="s">
        <v>2294</v>
      </c>
      <c r="G146" s="14" t="s">
        <v>2295</v>
      </c>
      <c r="H146" s="14" t="s">
        <v>2296</v>
      </c>
      <c r="I146" s="15">
        <v>184.5</v>
      </c>
      <c r="J146" s="77">
        <v>4</v>
      </c>
      <c r="K146" s="92"/>
    </row>
    <row r="147" spans="1:11" ht="60" x14ac:dyDescent="0.25">
      <c r="A147" s="14" t="s">
        <v>2292</v>
      </c>
      <c r="B147" s="14" t="s">
        <v>2438</v>
      </c>
      <c r="C147" s="14" t="s">
        <v>2388</v>
      </c>
      <c r="D147" s="16">
        <v>46001</v>
      </c>
      <c r="E147" s="16"/>
      <c r="F147" s="14" t="s">
        <v>2389</v>
      </c>
      <c r="G147" s="14" t="s">
        <v>2390</v>
      </c>
      <c r="H147" s="14" t="s">
        <v>2387</v>
      </c>
      <c r="I147" s="15">
        <v>750</v>
      </c>
      <c r="J147" s="77">
        <v>3</v>
      </c>
      <c r="K147" s="92"/>
    </row>
    <row r="148" spans="1:11" ht="30" x14ac:dyDescent="0.25">
      <c r="A148" s="14" t="s">
        <v>2292</v>
      </c>
      <c r="B148" s="14" t="s">
        <v>2453</v>
      </c>
      <c r="C148" s="14" t="s">
        <v>2376</v>
      </c>
      <c r="D148" s="16">
        <v>46001</v>
      </c>
      <c r="E148" s="16"/>
      <c r="F148" s="14" t="s">
        <v>2395</v>
      </c>
      <c r="G148" s="14" t="s">
        <v>2398</v>
      </c>
      <c r="H148" s="14" t="s">
        <v>2377</v>
      </c>
      <c r="I148" s="15">
        <v>182</v>
      </c>
      <c r="J148" s="77">
        <v>1</v>
      </c>
      <c r="K148" s="92"/>
    </row>
    <row r="149" spans="1:11" ht="20" x14ac:dyDescent="0.25">
      <c r="A149" s="14" t="s">
        <v>2292</v>
      </c>
      <c r="B149" s="14" t="s">
        <v>2439</v>
      </c>
      <c r="C149" s="14" t="s">
        <v>2391</v>
      </c>
      <c r="D149" s="16">
        <v>46001</v>
      </c>
      <c r="E149" s="16"/>
      <c r="F149" s="14" t="s">
        <v>2294</v>
      </c>
      <c r="G149" s="14" t="s">
        <v>2295</v>
      </c>
      <c r="H149" s="14" t="s">
        <v>2296</v>
      </c>
      <c r="I149" s="15">
        <v>184.5</v>
      </c>
      <c r="J149" s="77">
        <v>4</v>
      </c>
      <c r="K149" s="92"/>
    </row>
    <row r="150" spans="1:11" ht="30" x14ac:dyDescent="0.25">
      <c r="A150" s="14" t="s">
        <v>2292</v>
      </c>
      <c r="B150" s="14" t="s">
        <v>2454</v>
      </c>
      <c r="C150" s="14" t="s">
        <v>2383</v>
      </c>
      <c r="D150" s="16">
        <v>46001</v>
      </c>
      <c r="E150" s="16"/>
      <c r="F150" s="14" t="s">
        <v>2396</v>
      </c>
      <c r="G150" s="14" t="s">
        <v>2394</v>
      </c>
      <c r="H150" s="14" t="s">
        <v>2373</v>
      </c>
      <c r="I150" s="15">
        <v>55.7</v>
      </c>
      <c r="J150" s="77">
        <v>2</v>
      </c>
      <c r="K150" s="92"/>
    </row>
    <row r="151" spans="1:11" ht="30" x14ac:dyDescent="0.25">
      <c r="A151" s="14" t="s">
        <v>2292</v>
      </c>
      <c r="B151" s="14" t="s">
        <v>2455</v>
      </c>
      <c r="C151" s="14" t="s">
        <v>2380</v>
      </c>
      <c r="D151" s="16">
        <v>46001</v>
      </c>
      <c r="E151" s="16"/>
      <c r="F151" s="14" t="s">
        <v>2392</v>
      </c>
      <c r="G151" s="14" t="s">
        <v>2367</v>
      </c>
      <c r="H151" s="14" t="s">
        <v>2354</v>
      </c>
      <c r="I151" s="15">
        <v>342.07</v>
      </c>
      <c r="J151" s="77">
        <v>2</v>
      </c>
      <c r="K151" s="92"/>
    </row>
    <row r="152" spans="1:11" ht="30" x14ac:dyDescent="0.25">
      <c r="A152" s="14" t="s">
        <v>2292</v>
      </c>
      <c r="B152" s="14" t="s">
        <v>2456</v>
      </c>
      <c r="C152" s="14" t="s">
        <v>2381</v>
      </c>
      <c r="D152" s="16">
        <v>46001</v>
      </c>
      <c r="E152" s="16"/>
      <c r="F152" s="14" t="s">
        <v>2393</v>
      </c>
      <c r="G152" s="14" t="s">
        <v>2398</v>
      </c>
      <c r="H152" s="14" t="s">
        <v>2377</v>
      </c>
      <c r="I152" s="15">
        <v>550</v>
      </c>
      <c r="J152" s="77">
        <v>2</v>
      </c>
      <c r="K152" s="92"/>
    </row>
    <row r="153" spans="1:11" ht="30" x14ac:dyDescent="0.25">
      <c r="A153" s="14" t="s">
        <v>2292</v>
      </c>
      <c r="B153" s="14" t="s">
        <v>2457</v>
      </c>
      <c r="C153" s="14" t="s">
        <v>2382</v>
      </c>
      <c r="D153" s="16">
        <v>46001</v>
      </c>
      <c r="E153" s="16"/>
      <c r="F153" s="14" t="s">
        <v>2393</v>
      </c>
      <c r="G153" s="14" t="s">
        <v>2397</v>
      </c>
      <c r="H153" s="14" t="s">
        <v>2375</v>
      </c>
      <c r="I153" s="15">
        <v>605.5</v>
      </c>
      <c r="J153" s="77">
        <v>2</v>
      </c>
      <c r="K153" s="92"/>
    </row>
    <row r="154" spans="1:11" ht="30" x14ac:dyDescent="0.25">
      <c r="A154" s="14" t="s">
        <v>2292</v>
      </c>
      <c r="B154" s="14" t="s">
        <v>2458</v>
      </c>
      <c r="C154" s="14" t="s">
        <v>2372</v>
      </c>
      <c r="D154" s="16">
        <v>46001</v>
      </c>
      <c r="E154" s="16"/>
      <c r="F154" s="14" t="s">
        <v>2395</v>
      </c>
      <c r="G154" s="14" t="s">
        <v>2394</v>
      </c>
      <c r="H154" s="14" t="s">
        <v>2373</v>
      </c>
      <c r="I154" s="15">
        <v>851.2</v>
      </c>
      <c r="J154" s="77">
        <v>1</v>
      </c>
      <c r="K154" s="92"/>
    </row>
    <row r="155" spans="1:11" ht="30" x14ac:dyDescent="0.25">
      <c r="A155" s="14" t="s">
        <v>2292</v>
      </c>
      <c r="B155" s="14" t="s">
        <v>2459</v>
      </c>
      <c r="C155" s="14" t="s">
        <v>2374</v>
      </c>
      <c r="D155" s="16">
        <v>46001</v>
      </c>
      <c r="E155" s="16"/>
      <c r="F155" s="14" t="s">
        <v>2395</v>
      </c>
      <c r="G155" s="14" t="s">
        <v>2397</v>
      </c>
      <c r="H155" s="14" t="s">
        <v>2375</v>
      </c>
      <c r="I155" s="15">
        <v>970.01</v>
      </c>
      <c r="J155" s="77">
        <v>1</v>
      </c>
      <c r="K155" s="92"/>
    </row>
    <row r="156" spans="1:11" ht="20" x14ac:dyDescent="0.25">
      <c r="A156" s="14" t="s">
        <v>2292</v>
      </c>
      <c r="B156" s="14" t="s">
        <v>2443</v>
      </c>
      <c r="C156" s="14" t="s">
        <v>2442</v>
      </c>
      <c r="D156" s="16">
        <v>46006</v>
      </c>
      <c r="E156" s="16"/>
      <c r="F156" s="14" t="s">
        <v>2407</v>
      </c>
      <c r="G156" s="14" t="s">
        <v>2466</v>
      </c>
      <c r="H156" s="14" t="s">
        <v>2408</v>
      </c>
      <c r="I156" s="15">
        <v>1014.95</v>
      </c>
      <c r="J156" s="77">
        <v>2</v>
      </c>
      <c r="K156" s="92"/>
    </row>
    <row r="157" spans="1:11" ht="30" x14ac:dyDescent="0.25">
      <c r="A157" s="14" t="s">
        <v>2292</v>
      </c>
      <c r="B157" s="14" t="s">
        <v>2460</v>
      </c>
      <c r="C157" s="14" t="s">
        <v>2384</v>
      </c>
      <c r="D157" s="16">
        <v>46010</v>
      </c>
      <c r="E157" s="16"/>
      <c r="F157" s="14" t="s">
        <v>2392</v>
      </c>
      <c r="G157" s="14" t="s">
        <v>2349</v>
      </c>
      <c r="H157" s="14" t="s">
        <v>2350</v>
      </c>
      <c r="I157" s="15">
        <v>511.08</v>
      </c>
      <c r="J157" s="77">
        <v>2</v>
      </c>
      <c r="K157" s="92"/>
    </row>
    <row r="158" spans="1:11" ht="30" x14ac:dyDescent="0.25">
      <c r="A158" s="14" t="s">
        <v>2292</v>
      </c>
      <c r="B158" s="14" t="s">
        <v>2461</v>
      </c>
      <c r="C158" s="14" t="s">
        <v>2378</v>
      </c>
      <c r="D158" s="16">
        <v>46010</v>
      </c>
      <c r="E158" s="16"/>
      <c r="F158" s="14" t="s">
        <v>2399</v>
      </c>
      <c r="G158" s="14" t="s">
        <v>2400</v>
      </c>
      <c r="H158" s="14" t="s">
        <v>2379</v>
      </c>
      <c r="I158" s="15">
        <v>486.4</v>
      </c>
      <c r="J158" s="77">
        <v>1</v>
      </c>
      <c r="K158" s="92"/>
    </row>
    <row r="159" spans="1:11" ht="20" x14ac:dyDescent="0.25">
      <c r="A159" s="14" t="s">
        <v>2292</v>
      </c>
      <c r="B159" s="14" t="s">
        <v>2441</v>
      </c>
      <c r="C159" s="14" t="s">
        <v>2440</v>
      </c>
      <c r="D159" s="16">
        <v>46006</v>
      </c>
      <c r="E159" s="16"/>
      <c r="F159" s="14" t="s">
        <v>2409</v>
      </c>
      <c r="G159" s="14" t="s">
        <v>2466</v>
      </c>
      <c r="H159" s="14" t="s">
        <v>2408</v>
      </c>
      <c r="I159" s="15">
        <v>1643.8</v>
      </c>
      <c r="J159" s="77">
        <v>1</v>
      </c>
      <c r="K159" s="92"/>
    </row>
    <row r="160" spans="1:11" ht="30" x14ac:dyDescent="0.25">
      <c r="A160" s="14" t="s">
        <v>2292</v>
      </c>
      <c r="B160" s="14" t="s">
        <v>2462</v>
      </c>
      <c r="C160" s="14" t="s">
        <v>2401</v>
      </c>
      <c r="D160" s="16">
        <v>46010</v>
      </c>
      <c r="E160" s="16"/>
      <c r="F160" s="14" t="s">
        <v>2402</v>
      </c>
      <c r="G160" s="14" t="s">
        <v>2403</v>
      </c>
      <c r="H160" s="14" t="s">
        <v>2404</v>
      </c>
      <c r="I160" s="15">
        <v>608</v>
      </c>
      <c r="J160" s="77">
        <v>1</v>
      </c>
      <c r="K160" s="92"/>
    </row>
    <row r="161" spans="1:11" ht="20" x14ac:dyDescent="0.25">
      <c r="A161" s="14" t="s">
        <v>2292</v>
      </c>
      <c r="B161" s="14" t="s">
        <v>2463</v>
      </c>
      <c r="C161" s="14" t="s">
        <v>2405</v>
      </c>
      <c r="D161" s="16">
        <v>46010</v>
      </c>
      <c r="E161" s="16"/>
      <c r="F161" s="14" t="s">
        <v>2406</v>
      </c>
      <c r="G161" s="14" t="s">
        <v>2403</v>
      </c>
      <c r="H161" s="14" t="s">
        <v>2404</v>
      </c>
      <c r="I161" s="15">
        <v>560</v>
      </c>
      <c r="J161" s="77">
        <v>2</v>
      </c>
      <c r="K161" s="92"/>
    </row>
    <row r="162" spans="1:11" ht="50" x14ac:dyDescent="0.25">
      <c r="A162" s="14" t="s">
        <v>2292</v>
      </c>
      <c r="B162" s="14" t="s">
        <v>2444</v>
      </c>
      <c r="C162" s="14" t="s">
        <v>2410</v>
      </c>
      <c r="D162" s="16">
        <v>46006</v>
      </c>
      <c r="E162" s="16"/>
      <c r="F162" s="14" t="s">
        <v>2411</v>
      </c>
      <c r="G162" s="14" t="s">
        <v>2340</v>
      </c>
      <c r="H162" s="14" t="s">
        <v>2341</v>
      </c>
      <c r="I162" s="15">
        <v>2000</v>
      </c>
      <c r="J162" s="77">
        <v>3</v>
      </c>
      <c r="K162" s="92"/>
    </row>
    <row r="163" spans="1:11" ht="12.5" x14ac:dyDescent="0.25">
      <c r="A163" s="14" t="s">
        <v>2292</v>
      </c>
      <c r="B163" s="14" t="s">
        <v>2464</v>
      </c>
      <c r="C163" s="14" t="s">
        <v>2412</v>
      </c>
      <c r="D163" s="16">
        <v>46010</v>
      </c>
      <c r="E163" s="16"/>
      <c r="F163" s="14" t="s">
        <v>2300</v>
      </c>
      <c r="G163" s="14" t="s">
        <v>2298</v>
      </c>
      <c r="H163" s="14" t="s">
        <v>2299</v>
      </c>
      <c r="I163" s="15">
        <v>34.92</v>
      </c>
      <c r="J163" s="77">
        <v>4</v>
      </c>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142 A143:A144 C143:J144 A145:J5000">
    <cfRule type="expression" dxfId="86" priority="35" stopIfTrue="1">
      <formula>$A107&lt;&gt;""</formula>
    </cfRule>
  </conditionalFormatting>
  <conditionalFormatting sqref="B145">
    <cfRule type="expression" dxfId="85" priority="292" stopIfTrue="1">
      <formula>$A143&lt;&gt;""</formula>
    </cfRule>
  </conditionalFormatting>
  <conditionalFormatting sqref="B472:E477">
    <cfRule type="expression" dxfId="84" priority="137" stopIfTrue="1">
      <formula>$A472&lt;&gt;""</formula>
    </cfRule>
  </conditionalFormatting>
  <conditionalFormatting sqref="B484:E488">
    <cfRule type="expression" dxfId="83" priority="172" stopIfTrue="1">
      <formula>$A484&lt;&gt;""</formula>
    </cfRule>
  </conditionalFormatting>
  <conditionalFormatting sqref="B689:E689">
    <cfRule type="expression" dxfId="82" priority="64" stopIfTrue="1">
      <formula>$A689&lt;&gt;""</formula>
    </cfRule>
  </conditionalFormatting>
  <conditionalFormatting sqref="B691:E691 H691:I691 B692:I693 B694:E699 H694:I699">
    <cfRule type="expression" dxfId="81" priority="24" stopIfTrue="1">
      <formula>$A691&lt;&gt;""</formula>
    </cfRule>
  </conditionalFormatting>
  <conditionalFormatting sqref="B701:E701 H701:I701">
    <cfRule type="expression" dxfId="80" priority="15" stopIfTrue="1">
      <formula>$A701&lt;&gt;""</formula>
    </cfRule>
  </conditionalFormatting>
  <conditionalFormatting sqref="B819:E819">
    <cfRule type="expression" dxfId="79" priority="87" stopIfTrue="1">
      <formula>$A819&lt;&gt;""</formula>
    </cfRule>
  </conditionalFormatting>
  <conditionalFormatting sqref="B1110:E1110">
    <cfRule type="expression" dxfId="78" priority="133" stopIfTrue="1">
      <formula>$A1110&lt;&gt;""</formula>
    </cfRule>
  </conditionalFormatting>
  <conditionalFormatting sqref="B1114:E1114">
    <cfRule type="expression" dxfId="77" priority="189" stopIfTrue="1">
      <formula>$A1114&lt;&gt;""</formula>
    </cfRule>
  </conditionalFormatting>
  <conditionalFormatting sqref="B1131:E1136">
    <cfRule type="expression" dxfId="76" priority="179" stopIfTrue="1">
      <formula>$A1131&lt;&gt;""</formula>
    </cfRule>
  </conditionalFormatting>
  <conditionalFormatting sqref="B1138:E1148">
    <cfRule type="expression" dxfId="75" priority="47" stopIfTrue="1">
      <formula>$A1138&lt;&gt;""</formula>
    </cfRule>
  </conditionalFormatting>
  <conditionalFormatting sqref="B1152:E1152">
    <cfRule type="expression" dxfId="74" priority="73" stopIfTrue="1">
      <formula>$A1152&lt;&gt;""</formula>
    </cfRule>
  </conditionalFormatting>
  <conditionalFormatting sqref="B1253:E1260 I1253:J1270">
    <cfRule type="expression" dxfId="73" priority="123" stopIfTrue="1">
      <formula>$A1253&lt;&gt;""</formula>
    </cfRule>
  </conditionalFormatting>
  <conditionalFormatting sqref="B1293:E1301">
    <cfRule type="expression" dxfId="72" priority="158" stopIfTrue="1">
      <formula>$A1293&lt;&gt;""</formula>
    </cfRule>
  </conditionalFormatting>
  <conditionalFormatting sqref="B1303:E1326">
    <cfRule type="expression" dxfId="71" priority="37" stopIfTrue="1">
      <formula>$A1303&lt;&gt;""</formula>
    </cfRule>
  </conditionalFormatting>
  <conditionalFormatting sqref="B1360:E1363">
    <cfRule type="expression" dxfId="70" priority="54" stopIfTrue="1">
      <formula>$A1360&lt;&gt;""</formula>
    </cfRule>
  </conditionalFormatting>
  <conditionalFormatting sqref="B1365:E1367">
    <cfRule type="expression" dxfId="69" priority="259" stopIfTrue="1">
      <formula>$A1365&lt;&gt;""</formula>
    </cfRule>
  </conditionalFormatting>
  <conditionalFormatting sqref="B1369:E1379">
    <cfRule type="expression" dxfId="68" priority="78" stopIfTrue="1">
      <formula>$A1369&lt;&gt;""</formula>
    </cfRule>
  </conditionalFormatting>
  <conditionalFormatting sqref="B1393:E1404">
    <cfRule type="expression" dxfId="67" priority="116" stopIfTrue="1">
      <formula>$A1393&lt;&gt;""</formula>
    </cfRule>
  </conditionalFormatting>
  <conditionalFormatting sqref="B1412:E1450">
    <cfRule type="expression" dxfId="66" priority="153" stopIfTrue="1">
      <formula>$A1412&lt;&gt;""</formula>
    </cfRule>
  </conditionalFormatting>
  <conditionalFormatting sqref="B1453:E1458">
    <cfRule type="expression" dxfId="65" priority="223" stopIfTrue="1">
      <formula>$A1453&lt;&gt;""</formula>
    </cfRule>
  </conditionalFormatting>
  <conditionalFormatting sqref="B489:G489">
    <cfRule type="expression" dxfId="64" priority="173" stopIfTrue="1">
      <formula>$A489&lt;&gt;""</formula>
    </cfRule>
  </conditionalFormatting>
  <conditionalFormatting sqref="B478:H483">
    <cfRule type="expression" dxfId="63" priority="193" stopIfTrue="1">
      <formula>$A478&lt;&gt;""</formula>
    </cfRule>
  </conditionalFormatting>
  <conditionalFormatting sqref="B490:H496">
    <cfRule type="expression" dxfId="62" priority="149" stopIfTrue="1">
      <formula>$A490&lt;&gt;""</formula>
    </cfRule>
  </conditionalFormatting>
  <conditionalFormatting sqref="B1067:H1082">
    <cfRule type="expression" dxfId="61" priority="219" stopIfTrue="1">
      <formula>$A1067&lt;&gt;""</formula>
    </cfRule>
  </conditionalFormatting>
  <conditionalFormatting sqref="B1272:H1274 B1275:E1288 H1275:H1288">
    <cfRule type="expression" dxfId="60" priority="148" stopIfTrue="1">
      <formula>$A1272&lt;&gt;""</formula>
    </cfRule>
  </conditionalFormatting>
  <conditionalFormatting sqref="B1290:H1292">
    <cfRule type="expression" dxfId="59" priority="43" stopIfTrue="1">
      <formula>$A1290&lt;&gt;""</formula>
    </cfRule>
  </conditionalFormatting>
  <conditionalFormatting sqref="B1364:H1364">
    <cfRule type="expression" dxfId="58" priority="289" stopIfTrue="1">
      <formula>$A1364&lt;&gt;""</formula>
    </cfRule>
  </conditionalFormatting>
  <conditionalFormatting sqref="B1380:H1385">
    <cfRule type="expression" dxfId="57" priority="17" stopIfTrue="1">
      <formula>$A1380&lt;&gt;""</formula>
    </cfRule>
  </conditionalFormatting>
  <conditionalFormatting sqref="B1410:H1411">
    <cfRule type="expression" dxfId="56" priority="196" stopIfTrue="1">
      <formula>$A1410&lt;&gt;""</formula>
    </cfRule>
  </conditionalFormatting>
  <conditionalFormatting sqref="B175:I189 I190:I227 B190:E241">
    <cfRule type="expression" dxfId="55" priority="246" stopIfTrue="1">
      <formula>$A175&lt;&gt;""</formula>
    </cfRule>
  </conditionalFormatting>
  <conditionalFormatting sqref="B242:I242 B243:E275">
    <cfRule type="expression" dxfId="54" priority="260" stopIfTrue="1">
      <formula>$A242&lt;&gt;""</formula>
    </cfRule>
  </conditionalFormatting>
  <conditionalFormatting sqref="B276:I320">
    <cfRule type="expression" dxfId="53" priority="93" stopIfTrue="1">
      <formula>$A276&lt;&gt;""</formula>
    </cfRule>
  </conditionalFormatting>
  <conditionalFormatting sqref="B497:I499">
    <cfRule type="expression" dxfId="52" priority="95" stopIfTrue="1">
      <formula>$A497&lt;&gt;""</formula>
    </cfRule>
  </conditionalFormatting>
  <conditionalFormatting sqref="B645:I688">
    <cfRule type="expression" dxfId="51" priority="256" stopIfTrue="1">
      <formula>$A645&lt;&gt;""</formula>
    </cfRule>
  </conditionalFormatting>
  <conditionalFormatting sqref="B690:I690">
    <cfRule type="expression" dxfId="50" priority="22" stopIfTrue="1">
      <formula>$A690&lt;&gt;""</formula>
    </cfRule>
  </conditionalFormatting>
  <conditionalFormatting sqref="B1137:I1137">
    <cfRule type="expression" dxfId="49" priority="147" stopIfTrue="1">
      <formula>$A1137&lt;&gt;""</formula>
    </cfRule>
  </conditionalFormatting>
  <conditionalFormatting sqref="B1149:I1151">
    <cfRule type="expression" dxfId="48" priority="16" stopIfTrue="1">
      <formula>$A1149&lt;&gt;""</formula>
    </cfRule>
  </conditionalFormatting>
  <conditionalFormatting sqref="B1153:I1157">
    <cfRule type="expression" dxfId="47" priority="18" stopIfTrue="1">
      <formula>$A1153&lt;&gt;""</formula>
    </cfRule>
  </conditionalFormatting>
  <conditionalFormatting sqref="B1271:I1271 I1272:I1288">
    <cfRule type="expression" dxfId="46" priority="151" stopIfTrue="1">
      <formula>$A1271&lt;&gt;""</formula>
    </cfRule>
  </conditionalFormatting>
  <conditionalFormatting sqref="B1368:I1368">
    <cfRule type="expression" dxfId="45" priority="146" stopIfTrue="1">
      <formula>$A1368&lt;&gt;""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36 F138: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36 G138: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 right="0.196850393700787" top="0.47244094488188998" bottom="0.47244094488188998" header="0.31496062992126" footer="0.31496062992126"/>
  <pageSetup paperSize="9" scale="8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796875" defaultRowHeight="10" x14ac:dyDescent="0.2"/>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0"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x14ac:dyDescent="0.2">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x14ac:dyDescent="0.2">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x14ac:dyDescent="0.2">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x14ac:dyDescent="0.2">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x14ac:dyDescent="0.2">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x14ac:dyDescent="0.2">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x14ac:dyDescent="0.2">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x14ac:dyDescent="0.2">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x14ac:dyDescent="0.2">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x14ac:dyDescent="0.2">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x14ac:dyDescent="0.2">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x14ac:dyDescent="0.2">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x14ac:dyDescent="0.2">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x14ac:dyDescent="0.2">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x14ac:dyDescent="0.2">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x14ac:dyDescent="0.2">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x14ac:dyDescent="0.2">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x14ac:dyDescent="0.2">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x14ac:dyDescent="0.2">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x14ac:dyDescent="0.2">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x14ac:dyDescent="0.2">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x14ac:dyDescent="0.2">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x14ac:dyDescent="0.2">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x14ac:dyDescent="0.2">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x14ac:dyDescent="0.2">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x14ac:dyDescent="0.2">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x14ac:dyDescent="0.2">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x14ac:dyDescent="0.2">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x14ac:dyDescent="0.2">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x14ac:dyDescent="0.2">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x14ac:dyDescent="0.2">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x14ac:dyDescent="0.2">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x14ac:dyDescent="0.2">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x14ac:dyDescent="0.2">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x14ac:dyDescent="0.2">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x14ac:dyDescent="0.2">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x14ac:dyDescent="0.2">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x14ac:dyDescent="0.2">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x14ac:dyDescent="0.2">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x14ac:dyDescent="0.2">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x14ac:dyDescent="0.2">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x14ac:dyDescent="0.2">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x14ac:dyDescent="0.2">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x14ac:dyDescent="0.2">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x14ac:dyDescent="0.2">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x14ac:dyDescent="0.2">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x14ac:dyDescent="0.2">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x14ac:dyDescent="0.2">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x14ac:dyDescent="0.2">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x14ac:dyDescent="0.2">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x14ac:dyDescent="0.2">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x14ac:dyDescent="0.2">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x14ac:dyDescent="0.2">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x14ac:dyDescent="0.2">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x14ac:dyDescent="0.2">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x14ac:dyDescent="0.2">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x14ac:dyDescent="0.2">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x14ac:dyDescent="0.2">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x14ac:dyDescent="0.2">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x14ac:dyDescent="0.2">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x14ac:dyDescent="0.2">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x14ac:dyDescent="0.2">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x14ac:dyDescent="0.2">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x14ac:dyDescent="0.2">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x14ac:dyDescent="0.2">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x14ac:dyDescent="0.2">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x14ac:dyDescent="0.2">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x14ac:dyDescent="0.2">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x14ac:dyDescent="0.2">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x14ac:dyDescent="0.2">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x14ac:dyDescent="0.2">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x14ac:dyDescent="0.2">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x14ac:dyDescent="0.2">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x14ac:dyDescent="0.2">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x14ac:dyDescent="0.25">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x14ac:dyDescent="0.2">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x14ac:dyDescent="0.2">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x14ac:dyDescent="0.2">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x14ac:dyDescent="0.2">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x14ac:dyDescent="0.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x14ac:dyDescent="0.3">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x14ac:dyDescent="0.25">
      <c r="A1" s="370" t="str">
        <f>Spolu!C3&amp;", "&amp;Spolu!C6</f>
        <v>Slovenská asociácia pretláčania rukou, Vavrečka 311, Námestovo, 029 01</v>
      </c>
      <c r="B1" s="370"/>
      <c r="C1" s="37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71" t="s">
        <v>1259</v>
      </c>
      <c r="F3" s="372"/>
      <c r="N3" s="137" t="str">
        <f t="shared" si="0"/>
        <v>c - príspevok Slovenskému paralympijskému výboru</v>
      </c>
      <c r="O3" s="137" t="s">
        <v>343</v>
      </c>
      <c r="P3" s="137" t="s">
        <v>344</v>
      </c>
    </row>
    <row r="4" spans="1:16" ht="45.75" customHeight="1" x14ac:dyDescent="0.25">
      <c r="E4" s="372"/>
      <c r="F4" s="372"/>
      <c r="N4" s="137" t="str">
        <f t="shared" si="0"/>
        <v>d - príspevok športovcom top tímu</v>
      </c>
      <c r="O4" s="137" t="s">
        <v>345</v>
      </c>
      <c r="P4" s="137" t="s">
        <v>346</v>
      </c>
    </row>
    <row r="5" spans="1:16" ht="30.75" customHeight="1" x14ac:dyDescent="0.25">
      <c r="C5" s="138" t="s">
        <v>1260</v>
      </c>
      <c r="N5" s="137" t="str">
        <f t="shared" si="0"/>
        <v>e - rozvoj športov, ktoré nie sú uznanými podľa zákona č. 440/2015 Z. z.</v>
      </c>
      <c r="O5" s="137" t="s">
        <v>347</v>
      </c>
      <c r="P5" s="137" t="s">
        <v>352</v>
      </c>
    </row>
    <row r="6" spans="1:16" ht="31" x14ac:dyDescent="0.25">
      <c r="C6" s="138" t="s">
        <v>1261</v>
      </c>
      <c r="E6" s="140" t="s">
        <v>1262</v>
      </c>
      <c r="F6" s="149"/>
      <c r="N6" s="137" t="str">
        <f t="shared" si="0"/>
        <v>f - organizovanie významných a tradičných športových podujatí na území SR v roku 2020</v>
      </c>
      <c r="O6" s="137" t="s">
        <v>349</v>
      </c>
      <c r="P6" s="137" t="s">
        <v>1263</v>
      </c>
    </row>
    <row r="7" spans="1:16" x14ac:dyDescent="0.25">
      <c r="C7" s="138" t="s">
        <v>1264</v>
      </c>
      <c r="E7" s="140" t="s">
        <v>1265</v>
      </c>
      <c r="F7" s="150"/>
      <c r="N7" s="137" t="str">
        <f t="shared" si="0"/>
        <v>g - projekty školského, univerzitného športu a športu pre všetkých</v>
      </c>
      <c r="O7" s="137" t="s">
        <v>351</v>
      </c>
      <c r="P7" s="137" t="s">
        <v>1266</v>
      </c>
    </row>
    <row r="8" spans="1:16" x14ac:dyDescent="0.25">
      <c r="C8" s="138" t="s">
        <v>1684</v>
      </c>
      <c r="E8" s="140" t="s">
        <v>1267</v>
      </c>
      <c r="F8" s="151"/>
      <c r="N8" s="137" t="str">
        <f t="shared" si="0"/>
        <v>h - podpora a rozvoj turistických a cykloturistických trás</v>
      </c>
      <c r="O8" s="137" t="s">
        <v>353</v>
      </c>
      <c r="P8" s="137" t="s">
        <v>354</v>
      </c>
    </row>
    <row r="9" spans="1:16" x14ac:dyDescent="0.25">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5">
      <c r="N10" s="137" t="str">
        <f t="shared" si="0"/>
        <v>j - projekty pre popularizáciu pohybových aktivít detí, mládeže a seniorov</v>
      </c>
      <c r="O10" s="137" t="s">
        <v>356</v>
      </c>
      <c r="P10" s="137" t="s">
        <v>1270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3" t="s">
        <v>1271</v>
      </c>
      <c r="B12" s="373"/>
      <c r="C12" s="37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1272</v>
      </c>
    </row>
    <row r="14" spans="1:16" ht="45" customHeight="1" x14ac:dyDescent="0.25">
      <c r="A14" s="37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4"/>
      <c r="C14" s="374"/>
      <c r="F14" s="141"/>
      <c r="N14" s="137" t="str">
        <f t="shared" si="0"/>
        <v>n - organizovanie významnej súťaže podľa § 55 ods. 1 písm. b)</v>
      </c>
      <c r="O14" s="137" t="s">
        <v>364</v>
      </c>
      <c r="P14" s="137" t="s">
        <v>1273</v>
      </c>
    </row>
    <row r="15" spans="1:16" ht="32.25" customHeight="1" thickBot="1" x14ac:dyDescent="0.3">
      <c r="A15" s="139" t="s">
        <v>1274</v>
      </c>
      <c r="B15" s="375" t="s">
        <v>1275</v>
      </c>
      <c r="C15" s="376"/>
      <c r="N15" s="137" t="str">
        <f t="shared" si="0"/>
        <v>o - účasť na významnej súťaži podľa § 3 písm. h) druhého až štvrtého bodu Zákona o športe vrátane prípravy na túto súťaž</v>
      </c>
      <c r="O15" s="137" t="s">
        <v>365</v>
      </c>
      <c r="P15" s="137" t="s">
        <v>1276</v>
      </c>
    </row>
    <row r="16" spans="1:16" x14ac:dyDescent="0.25">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5">
      <c r="A17" s="139" t="s">
        <v>1280</v>
      </c>
      <c r="B17" s="254" t="s">
        <v>1281</v>
      </c>
      <c r="C17" s="194"/>
      <c r="E17" s="147"/>
      <c r="F17" s="284"/>
      <c r="N17" s="137" t="str">
        <f t="shared" si="0"/>
        <v xml:space="preserve">q - </v>
      </c>
      <c r="O17" s="137" t="s">
        <v>367</v>
      </c>
    </row>
    <row r="18" spans="1:16" x14ac:dyDescent="0.25">
      <c r="B18" s="193" t="s">
        <v>1282</v>
      </c>
      <c r="C18" s="142" t="str">
        <f>Spolu!C4</f>
        <v>30811686</v>
      </c>
      <c r="E18" s="147" t="s">
        <v>1283</v>
      </c>
      <c r="F18" s="284">
        <v>421947749446</v>
      </c>
      <c r="N18" s="137" t="str">
        <f t="shared" si="0"/>
        <v xml:space="preserve">r - </v>
      </c>
      <c r="O18" s="137" t="s">
        <v>368</v>
      </c>
    </row>
    <row r="19" spans="1:16" x14ac:dyDescent="0.25">
      <c r="E19" s="147" t="s">
        <v>1284</v>
      </c>
      <c r="F19" s="284">
        <v>421947749756</v>
      </c>
    </row>
    <row r="20" spans="1:16" ht="16" thickBot="1" x14ac:dyDescent="0.3">
      <c r="A20" s="139" t="s">
        <v>392</v>
      </c>
      <c r="B20" s="143">
        <f>F6</f>
        <v>0</v>
      </c>
      <c r="E20" s="208"/>
      <c r="F20" s="285"/>
    </row>
    <row r="21" spans="1:16" ht="189" customHeight="1" x14ac:dyDescent="0.25">
      <c r="B21" s="211"/>
      <c r="C21" s="144"/>
    </row>
    <row r="22" spans="1:16" ht="39.75" customHeight="1" x14ac:dyDescent="0.25">
      <c r="B22" s="369" t="s">
        <v>1285</v>
      </c>
      <c r="C22" s="36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1286</v>
      </c>
    </row>
    <row r="29" spans="1:16" x14ac:dyDescent="0.25">
      <c r="N29" s="137" t="s">
        <v>1287</v>
      </c>
    </row>
    <row r="30" spans="1:16" x14ac:dyDescent="0.25">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2026-03-04T05:59:16Z</cp:lastPrinted>
  <dcterms:created xsi:type="dcterms:W3CDTF">2017-02-20T06:20:12Z</dcterms:created>
  <dcterms:modified xsi:type="dcterms:W3CDTF">2026-03-04T05:59:37Z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