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C:\Users\ASUS\Desktop\"/>
    </mc:Choice>
  </mc:AlternateContent>
  <xr:revisionPtr revIDLastSave="0" documentId="8_{415092F1-AC8C-4B86-A1B9-3B438F63E0FF}" xr6:coauthVersionLast="47" xr6:coauthVersionMax="47" xr10:uidLastSave="{00000000-0000-0000-0000-000000000000}"/>
  <bookViews>
    <workbookView xWindow="-110" yWindow="-110" windowWidth="19420" windowHeight="103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<sst xmlns="http://schemas.openxmlformats.org/spreadsheetml/2006/main" count="6850" uniqueCount="3169">
  <si>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</si>
  <si>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</si>
  <si>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</si>
  <si>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</si>
  <si>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</si>
  <si>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</si>
  <si>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</si>
  <si>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</si>
  <si>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</si>
  <si>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</si>
  <si>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</si>
  <si>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</si>
  <si>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</si>
  <si>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</si>
  <si>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</si>
  <si>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</si>
  <si>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</si>
  <si>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</si>
  <si>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</si>
  <si>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</si>
  <si>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</si>
  <si>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</si>
  <si>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</si>
  <si>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</si>
  <si>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</si>
  <si>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</si>
  <si>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</si>
  <si>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</si>
  <si>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</si>
  <si>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</si>
  <si>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</si>
  <si>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</si>
  <si>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</si>
  <si>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</si>
  <si>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</si>
  <si>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</si>
  <si>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</si>
  <si>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</si>
  <si>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</si>
  <si>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</si>
  <si>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</si>
  <si>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</si>
  <si>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</si>
  <si>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</si>
  <si>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</si>
  <si>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</si>
  <si>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</si>
  <si>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</si>
  <si>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</si>
  <si>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</si>
  <si>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</si>
  <si>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</si>
  <si>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</si>
  <si>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</si>
  <si>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</si>
  <si>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</si>
  <si>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</si>
  <si>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</si>
  <si>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</si>
  <si>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</si>
  <si>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</si>
  <si>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</si>
  <si>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</si>
  <si>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</si>
  <si>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</si>
  <si>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</si>
  <si>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</si>
  <si>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</si>
  <si>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</si>
  <si>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</si>
  <si>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</si>
  <si>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</si>
  <si>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</si>
  <si>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</si>
  <si>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</si>
  <si>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</si>
  <si>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</si>
  <si>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</si>
  <si>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</si>
  <si>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</si>
  <si>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</si>
  <si>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</si>
  <si>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</si>
  <si>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</si>
  <si>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</si>
  <si>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</si>
  <si>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</si>
  <si>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</si>
  <si>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</si>
  <si>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</si>
  <si>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</si>
  <si>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</si>
  <si>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</si>
  <si>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</si>
  <si>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</si>
  <si>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</si>
  <si>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</si>
  <si>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</si>
  <si>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</si>
  <si>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</si>
  <si>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</si>
  <si>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</si>
  <si>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</si>
  <si>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</si>
  <si>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</si>
  <si>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</si>
  <si>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</si>
  <si>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</si>
  <si>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</si>
  <si>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</si>
  <si>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</si>
  <si>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</si>
  <si>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</si>
  <si>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</si>
  <si>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</si>
  <si>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</si>
  <si>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</si>
  <si>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</si>
  <si>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</si>
  <si>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</si>
  <si>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</si>
  <si>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</si>
  <si>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</si>
  <si>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</si>
  <si>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</si>
  <si>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</si>
  <si>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</si>
  <si>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</si>
  <si>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</si>
  <si>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</si>
  <si>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</si>
  <si>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</si>
  <si>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</si>
  <si>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</si>
  <si>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</si>
  <si>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</si>
  <si>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</si>
  <si>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</si>
  <si>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</si>
  <si>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</si>
  <si>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</si>
  <si>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</si>
  <si>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</si>
  <si>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</si>
  <si>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</si>
  <si>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</si>
  <si>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</si>
  <si>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</si>
  <si>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</si>
  <si>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</si>
  <si>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</si>
  <si>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</si>
  <si>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</si>
  <si>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</si>
  <si>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</si>
  <si>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</si>
  <si>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</si>
  <si>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</si>
  <si>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</si>
  <si>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</si>
  <si>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</si>
  <si>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</si>
  <si>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</si>
  <si>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</si>
  <si>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</si>
  <si>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</si>
  <si>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</si>
  <si>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</si>
  <si>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</si>
  <si>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</si>
  <si>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</si>
  <si>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</si>
  <si>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</si>
  <si>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</si>
  <si>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</si>
  <si>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</si>
  <si>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</si>
  <si>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</si>
  <si>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</si>
  <si>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</si>
  <si>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</si>
  <si>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</si>
  <si>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</si>
  <si>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</si>
  <si>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</si>
  <si>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</si>
  <si>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</si>
  <si>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</si>
  <si>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</si>
  <si>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</si>
  <si>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</si>
  <si>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</si>
  <si>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</si>
  <si>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</si>
  <si>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</si>
  <si>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</si>
  <si>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</si>
  <si>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</si>
  <si>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</si>
  <si>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</si>
  <si>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</si>
  <si>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</si>
  <si>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</si>
  <si>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</si>
  <si>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</si>
  <si>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</si>
  <si>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</si>
  <si>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</si>
  <si>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</si>
  <si>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</si>
  <si>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</si>
  <si>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</si>
  <si>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</si>
  <si>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</si>
  <si>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</si>
  <si>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</si>
  <si>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</si>
  <si>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</si>
  <si>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</si>
  <si>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</si>
  <si>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</si>
  <si>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</si>
  <si>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</si>
  <si>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</si>
  <si>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</si>
  <si>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</si>
  <si>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</si>
  <si>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</si>
  <si>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</si>
  <si>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</si>
  <si>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</si>
  <si>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</si>
  <si>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</si>
  <si>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</si>
  <si>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</si>
  <si>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</si>
  <si>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</si>
  <si>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</si>
  <si>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</si>
  <si>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</si>
  <si>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</si>
  <si>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</si>
  <si>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</si>
  <si>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</si>
  <si>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</si>
  <si>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</si>
  <si>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</si>
  <si>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</si>
  <si>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</si>
  <si>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</si>
  <si>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</si>
  <si>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</si>
  <si>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</si>
  <si>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</si>
  <si>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</si>
  <si>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</si>
  <si>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</si>
  <si>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</si>
  <si>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</si>
  <si>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</si>
  <si>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</si>
  <si>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</si>
  <si>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</si>
  <si>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</si>
  <si>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</si>
  <si>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</si>
  <si>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</si>
  <si>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</si>
  <si>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</si>
  <si>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</si>
  <si>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</si>
  <si>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</si>
  <si>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</si>
  <si>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</si>
  <si>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</si>
  <si>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</si>
  <si>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</si>
  <si>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</si>
  <si>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</si>
  <si>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</si>
  <si>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</si>
  <si>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</si>
  <si>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</si>
  <si>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</si>
  <si>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</si>
  <si>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</si>
  <si>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</si>
  <si>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</si>
  <si>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</si>
  <si>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</si>
  <si>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</si>
  <si>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</si>
  <si>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</si>
  <si>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</si>
  <si>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</si>
  <si>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</si>
  <si>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</si>
  <si>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</si>
  <si>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</si>
  <si>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</si>
  <si>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</si>
  <si>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</si>
  <si>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</si>
  <si>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</si>
  <si>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</si>
  <si>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</si>
  <si>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</si>
  <si>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</si>
  <si>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</si>
  <si>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</si>
  <si>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</si>
  <si>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</si>
  <si>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</si>
  <si>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</si>
  <si>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</si>
  <si>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</si>
  <si>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</si>
  <si>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</si>
  <si>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</si>
  <si>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</si>
  <si>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</si>
  <si>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</si>
  <si>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</si>
  <si>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</si>
  <si>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</si>
  <si>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</si>
  <si>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</si>
  <si>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</si>
  <si>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</si>
  <si>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</si>
  <si>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</si>
  <si>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</si>
  <si>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</si>
  <si>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</si>
  <si>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</si>
  <si>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</si>
  <si>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</si>
  <si>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</si>
  <si>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</si>
  <si>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</si>
  <si>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</si>
  <si>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</si>
  <si>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</si>
  <si>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</si>
  <si>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</si>
  <si>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</si>
  <si>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</si>
  <si>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</si>
  <si>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</si>
  <si>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</si>
  <si>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</si>
  <si>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</si>
  <si>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</si>
  <si>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</si>
  <si>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</si>
  <si>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</si>
  <si>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</si>
  <si>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</si>
  <si>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</si>
  <si>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</si>
  <si>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</si>
  <si>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</si>
  <si>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</si>
  <si>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</si>
  <si>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</si>
  <si>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</si>
  <si>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</si>
  <si>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</si>
  <si>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</si>
  <si>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</si>
  <si>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</si>
  <si>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</si>
  <si>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</si>
  <si>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</si>
  <si>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</si>
  <si>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</si>
  <si>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</si>
  <si>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</si>
  <si>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</si>
  <si>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</si>
  <si>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</si>
  <si>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</si>
  <si>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</si>
  <si>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</si>
  <si>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</si>
  <si>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</si>
  <si>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</si>
  <si>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</si>
  <si>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</si>
  <si>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</si>
  <si>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</si>
  <si>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</si>
  <si>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</si>
  <si>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</si>
  <si>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</si>
  <si>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</si>
  <si>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</si>
  <si>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</si>
  <si>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</si>
  <si>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</si>
  <si>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</si>
  <si>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</si>
  <si>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</si>
  <si>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</si>
  <si>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</si>
  <si>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</si>
  <si>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</si>
  <si>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</si>
  <si>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</si>
  <si>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</si>
  <si>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</si>
  <si>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</si>
  <si>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</si>
  <si>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</si>
  <si>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</si>
  <si>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</si>
  <si>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</si>
  <si>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</si>
  <si>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</si>
  <si>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</si>
  <si>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</si>
  <si>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</si>
  <si>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</si>
  <si>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</si>
  <si>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</si>
  <si>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</si>
  <si>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</si>
  <si>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</si>
  <si>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</si>
  <si>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</si>
  <si>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</si>
  <si>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</si>
  <si>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</si>
  <si>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</si>
  <si>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</si>
  <si>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</si>
  <si>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</si>
  <si>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</si>
  <si>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</si>
  <si>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</si>
  <si>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</si>
  <si>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</si>
  <si>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</si>
  <si>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</si>
  <si>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</si>
  <si>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</si>
  <si>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</si>
  <si>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</si>
  <si>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</si>
  <si>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</si>
  <si>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</si>
  <si>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</si>
  <si>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</si>
  <si>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</si>
  <si>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</si>
  <si>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</si>
  <si>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</si>
  <si>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</si>
  <si>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</si>
  <si>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</si>
  <si>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</si>
  <si>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</si>
  <si>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</si>
  <si>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</si>
  <si>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</si>
  <si>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</si>
  <si>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</si>
  <si>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</si>
  <si>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</si>
  <si>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</si>
  <si>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</si>
  <si>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</si>
  <si>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</si>
  <si>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</si>
  <si>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</si>
  <si>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</si>
  <si>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</si>
  <si>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</si>
  <si>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</si>
  <si>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</si>
  <si>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</si>
  <si>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</si>
  <si>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</si>
  <si>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</si>
  <si>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</si>
  <si>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</si>
  <si>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</si>
  <si>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</si>
  <si>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</si>
  <si>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</si>
  <si>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</si>
  <si>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</si>
  <si>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</si>
  <si>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</si>
  <si>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</si>
  <si>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</si>
  <si>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</si>
  <si>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</si>
  <si>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</si>
  <si>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</si>
  <si>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</si>
  <si>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</si>
  <si>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</si>
  <si>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</si>
  <si>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</si>
  <si>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</si>
  <si>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</si>
  <si>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</si>
  <si>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</si>
  <si>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</si>
  <si>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</si>
  <si>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</si>
  <si>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</si>
  <si>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</si>
  <si>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</si>
  <si>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</si>
  <si>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</si>
  <si>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</si>
  <si>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</si>
  <si>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</si>
  <si>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</si>
  <si>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</si>
  <si>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</si>
  <si>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</si>
  <si>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</si>
  <si>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</si>
  <si>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</si>
  <si>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</si>
  <si>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</si>
  <si>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</si>
  <si>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</si>
  <si>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</si>
  <si>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</si>
  <si>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</si>
  <si>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</si>
  <si>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</si>
  <si>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</si>
  <si>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</si>
  <si>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</si>
  <si>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</si>
  <si>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</si>
  <si>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</si>
  <si>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</si>
  <si>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</si>
  <si>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</si>
  <si>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</si>
  <si>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</si>
  <si>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</si>
  <si>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</si>
  <si>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</si>
  <si>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</si>
  <si>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</si>
  <si>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</si>
  <si>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</si>
  <si>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</si>
  <si>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</si>
  <si>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</si>
  <si>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</si>
  <si>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</si>
  <si>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</si>
  <si>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</si>
  <si>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</si>
  <si>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</si>
  <si>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</si>
  <si>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</si>
  <si>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</si>
  <si>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</si>
  <si>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</si>
  <si>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</si>
  <si>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</si>
  <si>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</si>
  <si>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</si>
  <si>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</si>
  <si>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</si>
  <si>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</si>
  <si>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</si>
  <si>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</si>
  <si>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</si>
  <si>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</si>
  <si>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</si>
  <si>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</si>
  <si>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</si>
  <si>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</si>
  <si>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</si>
  <si>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</si>
  <si>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</si>
  <si>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</si>
  <si>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</si>
  <si>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</si>
  <si>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</si>
  <si>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</si>
  <si>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</si>
  <si>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</si>
  <si>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</si>
  <si>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</si>
  <si>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</si>
  <si>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</si>
  <si>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</si>
  <si>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</si>
  <si>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</si>
  <si>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</si>
  <si>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</si>
  <si>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</si>
  <si>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</si>
  <si>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</si>
  <si>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</si>
  <si>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</si>
  <si>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</si>
  <si>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</si>
  <si>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</si>
  <si>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</si>
  <si>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</si>
  <si>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</si>
  <si>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</si>
  <si>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</si>
  <si>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</si>
  <si>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</si>
  <si>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</si>
  <si>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</si>
  <si>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</si>
  <si>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</si>
  <si>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</si>
  <si>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</si>
  <si>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</si>
  <si>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</si>
  <si>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</si>
  <si>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</si>
  <si>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</si>
  <si>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</si>
  <si>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</si>
  <si>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</si>
  <si>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</si>
  <si>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</si>
  <si>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</si>
  <si>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</si>
  <si>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</si>
  <si>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</si>
  <si>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</si>
  <si>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</si>
  <si>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</si>
  <si>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</si>
  <si>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</si>
  <si>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</si>
  <si>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</si>
  <si>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</si>
  <si>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</si>
  <si>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</si>
  <si>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</si>
  <si>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</si>
  <si>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</si>
  <si>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</si>
  <si>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</si>
  <si>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</si>
  <si>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</si>
  <si>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</si>
  <si>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</si>
  <si>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</si>
  <si>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</si>
  <si>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</si>
  <si>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</si>
  <si>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</si>
  <si>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</si>
  <si>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</si>
  <si>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</si>
  <si>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</si>
  <si>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</si>
  <si>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</si>
  <si>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</si>
  <si>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</si>
  <si>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</si>
  <si>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</si>
  <si>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</si>
  <si>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</si>
  <si>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</si>
  <si>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</si>
  <si>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</si>
  <si>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</si>
  <si>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</si>
  <si>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</si>
  <si>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</si>
  <si>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</si>
  <si>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</si>
  <si>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</si>
  <si>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</si>
  <si>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</si>
  <si>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</si>
  <si>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</si>
  <si>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</si>
  <si>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</si>
  <si>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</si>
  <si>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</si>
  <si>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</si>
  <si>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</si>
  <si>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</si>
  <si>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</si>
  <si>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</si>
  <si>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</si>
  <si>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</si>
  <si>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</si>
  <si>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</si>
  <si>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</si>
  <si>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</si>
  <si>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</si>
  <si>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</si>
  <si>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</si>
  <si>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</si>
  <si>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</si>
  <si>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</si>
  <si>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</si>
  <si>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</si>
  <si>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</si>
  <si>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</si>
  <si>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</si>
  <si>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</si>
  <si>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</si>
  <si>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</si>
  <si>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</si>
  <si>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</si>
  <si>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</si>
  <si>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</si>
  <si>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</si>
  <si>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</si>
  <si>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</si>
  <si>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</si>
  <si>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</si>
  <si>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</si>
  <si>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</si>
  <si>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</si>
  <si>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</si>
  <si>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</si>
  <si>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</si>
  <si>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</si>
  <si>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</si>
  <si>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</si>
  <si>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</si>
  <si>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</si>
  <si>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</si>
  <si>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</si>
  <si>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</si>
  <si>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</si>
  <si>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</si>
  <si>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</si>
  <si>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</si>
  <si>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</si>
  <si>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</si>
  <si>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</si>
  <si>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</si>
  <si>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</si>
  <si>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</si>
  <si>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</si>
  <si>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</si>
  <si>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</si>
  <si>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</si>
  <si>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</si>
  <si>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</si>
  <si>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</si>
  <si>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</si>
  <si>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</si>
  <si>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</si>
  <si>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</si>
  <si>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</si>
  <si>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</si>
  <si>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</si>
  <si>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</si>
  <si>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</si>
  <si>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</si>
  <si>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</si>
  <si>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</si>
  <si>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</si>
  <si>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</si>
  <si>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</si>
  <si>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</si>
  <si>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</si>
  <si>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</si>
  <si>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</si>
  <si>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</si>
  <si>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</si>
  <si>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</si>
  <si>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</si>
  <si>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</si>
  <si>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</si>
  <si>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</si>
  <si>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</si>
  <si>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</si>
  <si>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</si>
  <si>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</si>
  <si>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</si>
  <si>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</si>
  <si>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</si>
  <si>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</si>
  <si>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</si>
  <si>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</si>
  <si>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</si>
  <si>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</si>
  <si>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</si>
  <si>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</si>
  <si>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</si>
  <si>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</si>
  <si>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</si>
  <si>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</si>
  <si>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</si>
  <si>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</si>
  <si>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</si>
  <si>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</si>
  <si>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</si>
  <si>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</si>
  <si>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</si>
  <si>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</si>
  <si>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</si>
  <si>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</si>
  <si>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</si>
  <si>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</si>
  <si>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</si>
  <si>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</si>
  <si>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</si>
  <si>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</si>
  <si>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</si>
  <si>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</si>
  <si>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</si>
  <si>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</si>
  <si>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</si>
  <si>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</si>
  <si>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</si>
  <si>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</si>
  <si>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</si>
  <si>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</si>
  <si>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</si>
  <si>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</si>
  <si>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</si>
  <si>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</si>
  <si>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</si>
  <si>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</si>
  <si>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</si>
  <si>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</si>
  <si>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</si>
  <si>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</si>
  <si>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</si>
  <si>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</si>
  <si>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</si>
  <si>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</si>
  <si>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</si>
  <si>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</si>
  <si>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</si>
  <si>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</si>
  <si>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</si>
  <si>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</si>
  <si>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</si>
  <si>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</si>
  <si>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</si>
  <si>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</si>
  <si>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</si>
  <si>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</si>
  <si>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</si>
  <si>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</si>
  <si>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</si>
  <si>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</si>
  <si>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</si>
  <si>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</si>
  <si>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</si>
  <si>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</si>
  <si>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</si>
  <si>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</si>
  <si>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</si>
  <si>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</si>
  <si>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</si>
  <si>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</si>
  <si>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</si>
  <si>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</si>
  <si>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</si>
  <si>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</si>
  <si>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</si>
  <si>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</si>
  <si>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</si>
  <si>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</si>
  <si>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</si>
  <si>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</si>
  <si>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</si>
  <si>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</si>
  <si>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</si>
  <si>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</si>
  <si>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</si>
  <si>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</si>
  <si>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</si>
  <si>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</si>
  <si>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</si>
  <si>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</si>
  <si>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</si>
  <si>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</si>
  <si>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</si>
  <si>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</si>
  <si>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</si>
  <si>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</si>
  <si>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</si>
  <si>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</si>
  <si>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</si>
  <si>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</si>
  <si>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</si>
  <si>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</si>
  <si>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</si>
  <si>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</si>
  <si>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</si>
  <si>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</si>
  <si>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</si>
  <si>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</si>
  <si>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</si>
  <si>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</si>
  <si>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</si>
  <si>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</si>
  <si>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</si>
  <si>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</si>
  <si>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</si>
  <si>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</si>
  <si>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</si>
  <si>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</si>
  <si>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</si>
  <si>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</si>
  <si>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</si>
  <si>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</si>
  <si>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</si>
  <si>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</si>
  <si>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</si>
  <si>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</si>
  <si>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</si>
  <si>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</si>
  <si>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</si>
  <si>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</si>
  <si>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</si>
  <si>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</si>
  <si>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</si>
  <si>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</si>
  <si>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</si>
  <si>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</si>
  <si>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</si>
  <si>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</si>
  <si>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</si>
  <si>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</si>
  <si>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</si>
  <si>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</si>
  <si>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</si>
  <si>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</si>
  <si>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</si>
  <si>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</si>
  <si>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</si>
  <si>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</si>
  <si>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</si>
  <si>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</si>
  <si>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</si>
  <si>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</si>
  <si>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</si>
  <si>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</si>
  <si>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</si>
  <si>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</si>
  <si>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</si>
  <si>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</si>
  <si>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</si>
  <si>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</si>
  <si>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</si>
  <si>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</si>
  <si>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</si>
  <si>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</si>
  <si>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</si>
  <si>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</si>
  <si>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</si>
  <si>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</si>
  <si>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</si>
  <si>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</si>
  <si>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</si>
  <si>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</si>
  <si>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</si>
  <si>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</si>
  <si>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</si>
  <si>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</si>
  <si>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</si>
  <si>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</si>
  <si>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</si>
  <si>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</si>
  <si>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</si>
  <si>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</si>
  <si>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</si>
  <si>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</si>
  <si>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</si>
  <si>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</si>
  <si>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</si>
  <si>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</si>
  <si>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</si>
  <si>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</si>
  <si>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</si>
  <si>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</si>
  <si>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</si>
  <si>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</si>
  <si>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</si>
  <si>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</si>
  <si>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</si>
  <si>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</si>
  <si>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</si>
  <si>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</si>
  <si>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</si>
  <si>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</si>
  <si>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</si>
  <si>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</si>
  <si>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</si>
  <si>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</si>
  <si>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</si>
  <si>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</si>
  <si>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</si>
  <si>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</si>
  <si>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</si>
  <si>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</si>
  <si>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</si>
  <si>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</si>
  <si>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</si>
  <si>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</si>
  <si>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</si>
  <si>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</si>
  <si>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</si>
  <si>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</si>
  <si>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</si>
  <si>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</si>
  <si>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</si>
  <si>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</si>
  <si>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</si>
  <si>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</si>
  <si>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</si>
  <si>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</si>
  <si>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</si>
  <si>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</si>
  <si>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</si>
  <si>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</si>
  <si>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</si>
  <si>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</si>
  <si>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</si>
  <si>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</si>
  <si>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</si>
  <si>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</si>
  <si>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</si>
  <si>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</si>
  <si>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</si>
  <si>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</si>
  <si>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</si>
  <si>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</si>
  <si>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</si>
  <si>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</si>
  <si>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</si>
  <si>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</si>
  <si>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</si>
  <si>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</si>
  <si>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</si>
  <si>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</si>
  <si>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</si>
  <si>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</si>
  <si>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</si>
  <si>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</si>
  <si>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</si>
  <si>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</si>
  <si>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</si>
  <si>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</si>
  <si>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</si>
  <si>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</si>
  <si>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</si>
  <si>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</si>
  <si>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</si>
  <si>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</si>
  <si>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</si>
  <si>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</si>
  <si>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</si>
  <si>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</si>
  <si>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</si>
  <si>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</si>
  <si>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</si>
  <si>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</si>
  <si>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</si>
  <si>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</si>
  <si>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</si>
  <si>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</si>
  <si>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</si>
  <si>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</si>
  <si>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</si>
  <si>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</si>
  <si>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</si>
  <si>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</si>
  <si>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</si>
  <si>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</si>
  <si>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</si>
  <si>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</si>
  <si>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</si>
  <si>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</si>
  <si>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</si>
  <si>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</si>
  <si>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</si>
  <si>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</si>
  <si>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</si>
  <si>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</si>
  <si>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</si>
  <si>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</si>
  <si>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</si>
  <si>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</si>
  <si>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</si>
  <si>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</si>
  <si>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</si>
  <si>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</si>
  <si>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</si>
  <si>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</si>
  <si>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</si>
  <si>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</si>
  <si>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</si>
  <si>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</si>
  <si>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</si>
  <si>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</si>
  <si>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</si>
  <si>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</si>
  <si>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</si>
  <si>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</si>
  <si>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</si>
  <si>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</si>
  <si>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</si>
  <si>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</si>
  <si>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</si>
  <si>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</si>
  <si>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</si>
  <si>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</si>
  <si>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</si>
  <si>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</si>
  <si>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</si>
  <si>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</si>
  <si>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</si>
  <si>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</si>
  <si>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</si>
  <si>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</si>
  <si>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</si>
  <si>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</si>
  <si>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</si>
  <si>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</si>
  <si>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</si>
  <si>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</si>
  <si>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</si>
  <si>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</si>
  <si>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</si>
  <si>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</si>
  <si>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</si>
  <si>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</si>
  <si>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</si>
  <si>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</si>
  <si>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</si>
  <si>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</si>
  <si>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</si>
  <si>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</si>
  <si>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</si>
  <si>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</si>
  <si>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</si>
  <si>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</si>
  <si>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</si>
  <si>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</si>
  <si>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</si>
  <si>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</si>
  <si>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</si>
  <si>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</si>
  <si>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</si>
  <si>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</si>
  <si>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</si>
  <si>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</si>
  <si>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</si>
  <si>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</si>
  <si>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</si>
  <si>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</si>
  <si>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</si>
  <si>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</si>
  <si>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</si>
  <si>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</si>
  <si>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</si>
  <si>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</si>
  <si>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</si>
  <si>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</si>
  <si>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</si>
  <si>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</si>
  <si>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</si>
  <si>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</si>
  <si>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</si>
  <si>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</si>
  <si>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</si>
  <si>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</si>
  <si>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</si>
  <si>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</si>
  <si>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</si>
  <si>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</si>
  <si>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</si>
  <si>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</si>
  <si>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</si>
  <si>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</si>
  <si>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</si>
  <si>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</si>
  <si>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</si>
  <si>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</si>
  <si>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</si>
  <si>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</si>
  <si>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</si>
  <si>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</si>
  <si>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</si>
  <si>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</si>
  <si>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</si>
  <si>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</si>
  <si>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</si>
  <si>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</si>
  <si>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</si>
  <si>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</si>
  <si>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</si>
  <si>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</si>
  <si>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</si>
  <si>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</si>
  <si>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</si>
  <si>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</si>
  <si>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</si>
  <si>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</si>
  <si>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</si>
  <si>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</si>
  <si>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</si>
  <si>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</si>
  <si>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</si>
  <si>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</si>
  <si>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</si>
  <si>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</si>
  <si>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</si>
  <si>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</si>
  <si>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</si>
  <si>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</si>
  <si>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</si>
  <si>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</si>
  <si>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</si>
  <si>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</si>
  <si>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</si>
  <si>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</si>
  <si>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</si>
  <si>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</si>
  <si>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</si>
  <si>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</si>
  <si>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</si>
  <si>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</si>
  <si>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</si>
  <si>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</si>
  <si>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</si>
  <si>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</si>
  <si>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</si>
  <si>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</si>
  <si>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</si>
  <si>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</si>
  <si>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</si>
  <si>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</si>
  <si>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</si>
  <si>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</si>
  <si>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</si>
  <si>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</si>
  <si>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</si>
  <si>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</si>
  <si>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</si>
  <si>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</si>
  <si>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</si>
  <si>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</si>
  <si>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</si>
  <si>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</si>
  <si>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</si>
  <si>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</si>
  <si>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</si>
  <si>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</si>
  <si>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</si>
  <si>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</si>
  <si>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</si>
  <si>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</si>
  <si>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</si>
  <si>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</si>
  <si>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</si>
  <si>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</si>
  <si>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</si>
  <si>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</si>
  <si>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</si>
  <si>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</si>
  <si>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</si>
  <si>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</si>
  <si>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</si>
  <si>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</si>
  <si>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</si>
  <si>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</si>
  <si>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</si>
  <si>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</si>
  <si>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</si>
  <si>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</si>
  <si>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</si>
  <si>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</si>
  <si>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</si>
  <si>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</si>
  <si>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</si>
  <si>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</si>
  <si>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</si>
  <si>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</si>
  <si>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</si>
  <si>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</si>
  <si>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</si>
  <si>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</si>
  <si>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</si>
  <si>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</si>
  <si>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</si>
  <si>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</si>
  <si>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</si>
  <si>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</si>
  <si>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</si>
  <si>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</si>
  <si>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</si>
  <si>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</si>
  <si>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</si>
  <si>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</si>
  <si>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</si>
  <si>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</si>
  <si>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</si>
  <si>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</si>
  <si>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</si>
  <si>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</si>
  <si>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</si>
  <si>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</si>
  <si>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</si>
  <si>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</si>
  <si>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</si>
  <si>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</si>
  <si>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</si>
  <si>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</si>
  <si>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</si>
  <si>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</si>
  <si>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</si>
  <si>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</si>
  <si>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</si>
  <si>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</si>
  <si>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</si>
  <si>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</si>
  <si>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</si>
  <si>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</si>
  <si>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</si>
  <si>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</si>
  <si>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</si>
  <si>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</si>
  <si>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</si>
  <si>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</si>
  <si>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</si>
  <si>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</si>
  <si>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</si>
  <si>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</si>
  <si>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</si>
  <si>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</si>
  <si>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</si>
  <si>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</si>
  <si>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</si>
  <si>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</si>
  <si>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</si>
  <si>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</si>
  <si>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</si>
  <si>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</si>
  <si>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</si>
  <si>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</si>
  <si>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</si>
  <si>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</si>
  <si>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</si>
  <si>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</si>
  <si>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</si>
  <si>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</si>
  <si>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</si>
  <si>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</si>
  <si>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</si>
  <si>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</si>
  <si>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</si>
  <si>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</si>
  <si>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</si>
  <si>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</si>
  <si>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</si>
  <si>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</si>
  <si>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</si>
  <si>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</si>
  <si>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</si>
  <si>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</si>
  <si>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</si>
  <si>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</si>
  <si>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</si>
  <si>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</si>
  <si>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</si>
  <si>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</si>
  <si>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</si>
  <si>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</si>
  <si>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</si>
  <si>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</si>
  <si>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</si>
  <si>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</si>
  <si>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</si>
  <si>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</si>
  <si>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</si>
  <si>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</si>
  <si>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</si>
  <si>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</si>
  <si>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</si>
  <si>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</si>
  <si>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</si>
  <si>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</si>
  <si>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</si>
  <si>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</si>
  <si>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</si>
  <si>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</si>
  <si>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</si>
  <si>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</si>
  <si>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</si>
  <si>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</si>
  <si>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</si>
  <si>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</si>
  <si>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</si>
  <si>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</si>
  <si>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</si>
  <si>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</si>
  <si>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</si>
  <si>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</si>
  <si>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</si>
  <si>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</si>
  <si>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</si>
  <si>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</si>
  <si>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</si>
  <si>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</si>
  <si>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</si>
  <si>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</si>
  <si>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</si>
  <si>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</si>
  <si>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</si>
  <si>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</si>
  <si>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</si>
  <si>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</si>
  <si>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</si>
  <si>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</si>
  <si>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</si>
  <si>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</si>
  <si>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</si>
  <si>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</si>
  <si>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</si>
  <si>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</si>
  <si>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</si>
  <si>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</si>
  <si>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</si>
  <si>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</si>
  <si>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</si>
  <si>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</si>
  <si>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</si>
  <si>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</si>
  <si>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</si>
  <si>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</si>
  <si>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</si>
  <si>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</si>
  <si>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</si>
  <si>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</si>
  <si>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</si>
  <si>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</si>
  <si>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</si>
  <si>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</si>
  <si>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</si>
  <si>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</si>
  <si>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</si>
  <si>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</si>
  <si>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</si>
  <si>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</si>
  <si>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</si>
  <si>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</si>
  <si>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</si>
  <si>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</si>
  <si>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</si>
  <si>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</si>
  <si>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</si>
  <si>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</si>
  <si>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</si>
  <si>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</si>
  <si>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</si>
  <si>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</si>
  <si>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</si>
  <si>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</si>
  <si>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</si>
  <si>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</si>
  <si>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</si>
  <si>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</si>
  <si>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</si>
  <si>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</si>
  <si>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</si>
  <si>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</si>
  <si>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</si>
  <si>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</si>
  <si>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</si>
  <si>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</si>
  <si>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</si>
  <si>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</si>
  <si>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</si>
  <si>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</si>
  <si>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</si>
  <si>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</si>
  <si>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</si>
  <si>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</si>
  <si>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</si>
  <si>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</si>
  <si>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</si>
  <si>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</si>
  <si>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</si>
  <si>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</si>
  <si>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</si>
  <si>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</si>
  <si>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</si>
  <si>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</si>
  <si>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</si>
  <si>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</si>
  <si>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</si>
  <si>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</si>
  <si>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</si>
  <si>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</si>
  <si>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</si>
  <si>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</si>
  <si>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</si>
  <si>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</si>
  <si>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</si>
  <si>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</si>
  <si>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</si>
  <si>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</si>
  <si>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</si>
  <si>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</si>
  <si>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</si>
  <si>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</si>
  <si>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</si>
  <si>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</si>
  <si>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</si>
  <si>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</si>
  <si>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</si>
  <si>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</si>
  <si>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</si>
  <si>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</si>
  <si>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</si>
  <si>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</si>
  <si>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</si>
  <si>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</si>
  <si>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</si>
  <si>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</si>
  <si>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</si>
  <si>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</si>
  <si>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</si>
  <si>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</si>
  <si>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</si>
  <si>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</si>
  <si>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</si>
  <si>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</si>
  <si>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</si>
  <si>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</si>
  <si>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</si>
  <si>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</si>
  <si>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</si>
  <si>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</si>
  <si>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</si>
  <si>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</si>
  <si>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</si>
  <si>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</si>
  <si>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</si>
  <si>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</si>
  <si>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</si>
  <si>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</si>
  <si>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</si>
  <si>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</si>
  <si>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</si>
  <si>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</si>
  <si>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</si>
  <si>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</si>
  <si>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</si>
  <si>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</si>
  <si>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</si>
  <si>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</si>
  <si>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</si>
  <si>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</si>
  <si>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</si>
  <si>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</si>
  <si>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</si>
  <si>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</si>
  <si>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</si>
  <si>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</si>
  <si>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</si>
  <si>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</si>
  <si>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</si>
  <si>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</si>
  <si>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</si>
  <si>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</si>
  <si>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</si>
  <si>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</si>
  <si>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</si>
  <si>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</si>
  <si>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</si>
  <si>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</si>
  <si>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</si>
  <si>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</si>
  <si>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</si>
  <si>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</si>
  <si>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</si>
  <si>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</si>
  <si>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</si>
  <si>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</si>
  <si>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</si>
  <si>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</si>
  <si>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</si>
  <si>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</si>
  <si>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</si>
  <si>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</si>
  <si>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</si>
  <si>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</si>
  <si>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</si>
  <si>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</si>
  <si>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</si>
  <si>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</si>
  <si>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</si>
  <si>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</si>
  <si>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</si>
  <si>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</si>
  <si>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</si>
  <si>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</si>
  <si>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</si>
  <si>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</si>
  <si>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</si>
  <si>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</si>
  <si>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</si>
  <si>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</si>
  <si>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</si>
  <si>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</si>
  <si>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</si>
  <si>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</si>
  <si>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</si>
  <si>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</si>
  <si>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</si>
  <si>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</si>
  <si>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</si>
  <si>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</si>
  <si>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</si>
  <si>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</si>
  <si>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</si>
  <si>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</si>
  <si>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</si>
  <si>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</si>
  <si>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</si>
  <si>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</si>
  <si>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</si>
  <si>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</si>
  <si>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</si>
  <si>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</si>
  <si>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</si>
  <si>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</si>
  <si>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</si>
  <si>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</si>
  <si>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</si>
  <si>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</si>
  <si>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</si>
  <si>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</si>
  <si>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</si>
  <si>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</si>
  <si>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</si>
  <si>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</si>
  <si>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</si>
  <si>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</si>
  <si>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</si>
  <si>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</si>
  <si>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</si>
  <si>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</si>
  <si>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</si>
  <si>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</si>
  <si>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</si>
  <si>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</si>
  <si>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</si>
  <si>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</si>
  <si>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</si>
  <si>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</si>
  <si>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</si>
  <si>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</si>
  <si>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</si>
  <si>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</si>
  <si>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</si>
  <si>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</si>
  <si>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</si>
  <si>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</si>
  <si>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</si>
  <si>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</si>
  <si>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</si>
  <si>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</si>
  <si>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</si>
  <si>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</si>
  <si>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</si>
  <si>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</si>
  <si>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</si>
  <si>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</si>
  <si>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</si>
  <si>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</si>
  <si>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</si>
  <si>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</si>
  <si>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</si>
  <si>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</si>
  <si>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</si>
  <si>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</si>
  <si>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</si>
  <si>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</si>
  <si>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</si>
  <si>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</si>
  <si>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</si>
  <si>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</si>
  <si>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</si>
  <si>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</si>
  <si>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</si>
  <si>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</si>
  <si>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</si>
  <si>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</si>
  <si>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</si>
  <si>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</si>
  <si>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</si>
  <si>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</si>
  <si>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</si>
  <si>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</si>
  <si>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</si>
  <si>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</si>
  <si>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</si>
  <si>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</si>
  <si>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</si>
  <si>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</si>
  <si>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</si>
  <si>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</si>
  <si>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</si>
  <si>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</si>
  <si>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</si>
  <si>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</si>
  <si>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</si>
  <si>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</si>
  <si>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</si>
  <si>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</si>
  <si>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</si>
  <si>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</si>
  <si>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</si>
  <si>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</si>
  <si>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</si>
  <si>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</si>
  <si>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</si>
  <si>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</si>
  <si>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</si>
  <si>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</si>
  <si>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</si>
  <si>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</si>
  <si>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</si>
  <si>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</si>
  <si>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</si>
  <si>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</si>
  <si>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</si>
  <si>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</si>
  <si>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</si>
  <si>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</si>
  <si>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</si>
  <si>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</si>
  <si>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</si>
  <si>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</si>
  <si>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</si>
  <si>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</si>
  <si>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</si>
  <si>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</si>
  <si>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</si>
  <si>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</si>
  <si>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</si>
  <si>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</si>
  <si>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</si>
  <si>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</si>
  <si>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</si>
  <si>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</si>
  <si>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</si>
  <si>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</si>
  <si>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</si>
  <si>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</si>
  <si>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</si>
  <si>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</si>
  <si>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</si>
  <si>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</si>
  <si>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</si>
  <si>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</si>
  <si>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</si>
  <si>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</si>
  <si>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</si>
  <si>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</si>
  <si>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</si>
  <si>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</si>
  <si>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</si>
  <si>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</si>
  <si>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</si>
  <si>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</si>
  <si>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</si>
  <si>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</si>
  <si>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</si>
  <si>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</si>
  <si>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</si>
  <si>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</si>
  <si>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</si>
  <si>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</si>
  <si>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</si>
  <si>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</si>
  <si>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</si>
  <si>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</si>
  <si>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</si>
  <si>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</si>
  <si>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</si>
  <si>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</si>
  <si>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</si>
  <si>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</si>
  <si>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</si>
  <si>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</si>
  <si>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</si>
  <si>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</si>
  <si>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</si>
  <si>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</si>
  <si>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</si>
  <si>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</si>
  <si>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</si>
  <si>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</si>
  <si>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</si>
  <si>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</si>
  <si>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</si>
  <si>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</si>
  <si>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</si>
  <si>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</si>
  <si>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</si>
  <si>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</si>
  <si>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</si>
  <si>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</si>
  <si>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</si>
  <si>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</si>
  <si>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</si>
  <si>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</si>
  <si>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</si>
  <si>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</si>
  <si>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</si>
  <si>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</si>
  <si>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</si>
  <si>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</si>
  <si>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</si>
  <si>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</si>
  <si>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</si>
  <si>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</si>
  <si>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</si>
  <si>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</si>
  <si>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</si>
  <si>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</si>
  <si>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</si>
  <si>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</si>
  <si>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</si>
  <si>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</si>
  <si>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</si>
  <si>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</si>
  <si>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</si>
  <si>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</si>
  <si>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</si>
  <si>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</si>
  <si>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</si>
  <si>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</si>
  <si>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</si>
  <si>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</si>
  <si>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</si>
  <si>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</si>
  <si>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</si>
  <si>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</si>
  <si>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</si>
  <si>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</si>
  <si>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</si>
  <si>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</si>
  <si>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</si>
  <si>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</si>
  <si>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</si>
  <si>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</si>
  <si>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</si>
  <si>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</si>
  <si>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</si>
  <si>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</si>
  <si>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</si>
  <si>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</si>
  <si>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</si>
  <si>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</si>
  <si>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</si>
  <si>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</si>
  <si>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</si>
  <si>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</si>
  <si>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</si>
  <si>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</si>
  <si>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</si>
  <si>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</si>
  <si>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</si>
  <si>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</si>
  <si>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</si>
  <si>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</si>
  <si>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</si>
  <si>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</si>
  <si>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</si>
  <si>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</si>
  <si>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</si>
  <si>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</si>
  <si>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</si>
  <si>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</si>
  <si>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</si>
  <si>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</si>
  <si>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</si>
  <si>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</si>
  <si>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</si>
  <si>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</si>
  <si>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</si>
  <si>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</si>
  <si>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</si>
  <si>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</si>
  <si>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</si>
  <si>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</si>
  <si>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</si>
  <si>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</si>
  <si>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</si>
  <si>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</si>
  <si>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</si>
  <si>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</si>
  <si>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</si>
  <si>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</si>
  <si>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</si>
  <si>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</si>
  <si>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</si>
  <si>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</si>
  <si>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</si>
  <si>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</si>
  <si>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</si>
  <si>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</si>
  <si>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</si>
  <si>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</si>
  <si>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</si>
  <si>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</si>
  <si>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</si>
  <si>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</si>
  <si>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</si>
  <si>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</si>
  <si>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</si>
  <si>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</si>
  <si>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</si>
  <si>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</si>
  <si>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</si>
  <si>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</si>
  <si>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</si>
  <si>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</si>
  <si>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</si>
  <si>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</si>
  <si>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</si>
  <si>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</si>
  <si>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</si>
  <si>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</si>
  <si>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</si>
  <si>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</si>
  <si>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</si>
  <si>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</si>
  <si>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</si>
  <si>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</si>
  <si>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</si>
  <si>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</si>
  <si>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</si>
  <si>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</si>
  <si>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</si>
  <si>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</si>
  <si>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</si>
  <si>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</si>
  <si>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</si>
  <si>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</si>
  <si>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</si>
  <si>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</si>
  <si>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</si>
  <si>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</si>
  <si>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</si>
  <si>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</si>
  <si>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</si>
  <si>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</si>
  <si>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</si>
  <si>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</si>
  <si>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</si>
  <si>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</si>
  <si>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</si>
  <si>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</si>
  <si>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</si>
  <si>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</si>
  <si>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</si>
  <si>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</si>
  <si>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</si>
  <si>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</si>
  <si>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</si>
  <si>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</si>
  <si>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</si>
  <si>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</si>
  <si>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</si>
  <si>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</si>
  <si>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</si>
  <si>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</si>
  <si>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</si>
  <si>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</si>
  <si>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</si>
  <si>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</si>
  <si>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</si>
  <si>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</si>
  <si>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</si>
  <si>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</si>
  <si>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</si>
  <si>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</si>
  <si>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</si>
  <si>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</si>
  <si>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</si>
  <si>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</si>
  <si>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</si>
  <si>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</si>
  <si>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</si>
  <si>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</si>
  <si>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</si>
  <si>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</si>
  <si>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</si>
  <si>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</si>
  <si>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</si>
  <si>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</si>
  <si>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</si>
  <si>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</si>
  <si>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</si>
  <si>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</si>
  <si>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</si>
  <si>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</si>
  <si>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</si>
  <si>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</si>
  <si>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</si>
  <si>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</si>
  <si>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</si>
  <si>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</si>
  <si>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</si>
  <si>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</si>
  <si>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</si>
  <si>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</si>
  <si>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</si>
  <si>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</si>
  <si>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</si>
  <si>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</si>
  <si>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</si>
  <si>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</si>
  <si>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</si>
  <si>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</si>
  <si>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</si>
  <si>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</si>
  <si>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</si>
  <si>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</si>
  <si>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</si>
  <si>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</si>
  <si>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</si>
  <si>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</si>
  <si>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</si>
  <si>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</si>
  <si>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</si>
  <si>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</si>
  <si>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</si>
  <si>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</si>
  <si>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</si>
  <si>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</si>
  <si>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</si>
  <si>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</si>
  <si>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</si>
  <si>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</si>
  <si>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</si>
  <si>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</si>
  <si>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</si>
  <si>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</si>
  <si>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</si>
  <si>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</si>
  <si>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</si>
  <si>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</si>
  <si>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</si>
  <si>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</si>
  <si>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</si>
  <si>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</si>
  <si>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</si>
  <si>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</si>
  <si>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</si>
  <si>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</si>
  <si>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</si>
  <si>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</si>
  <si>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</si>
  <si>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</si>
  <si>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</si>
  <si>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</si>
  <si>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</si>
  <si>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</si>
  <si>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</si>
  <si>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</si>
  <si>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</si>
  <si>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</si>
  <si>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</si>
  <si>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</si>
  <si>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</si>
  <si>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</si>
  <si>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</si>
  <si>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</si>
  <si>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</si>
  <si>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</si>
  <si>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</si>
  <si>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</si>
  <si>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</si>
  <si>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</si>
  <si>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</si>
  <si>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</si>
  <si>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</si>
  <si>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</si>
  <si>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</si>
  <si>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</si>
  <si>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</si>
  <si>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</si>
  <si>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</si>
  <si>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</si>
  <si>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</si>
  <si>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</si>
  <si>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</si>
  <si>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</si>
  <si>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</si>
  <si>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</si>
  <si>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</si>
  <si>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</si>
  <si>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</si>
  <si>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</si>
  <si>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</si>
  <si>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</si>
  <si>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</si>
  <si>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</si>
  <si>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</si>
  <si>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</si>
  <si>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</si>
  <si>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</si>
  <si>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</si>
  <si>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</si>
  <si>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</si>
  <si>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</si>
  <si>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</si>
  <si>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</si>
  <si>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</si>
  <si>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</si>
  <si>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</si>
  <si>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</si>
  <si>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</si>
  <si>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</si>
  <si>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</si>
  <si>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</si>
  <si>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</si>
  <si>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</si>
  <si>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</si>
  <si>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</si>
  <si>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</si>
  <si>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</si>
  <si>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</si>
  <si>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</si>
  <si>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</si>
  <si>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</si>
  <si>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</si>
  <si>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</si>
  <si>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</si>
  <si>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</si>
  <si>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</si>
  <si>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</si>
  <si>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</si>
  <si>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</si>
  <si>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</si>
  <si>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</si>
  <si>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</si>
  <si>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</si>
  <si>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</si>
  <si>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</si>
  <si>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</si>
  <si>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</si>
  <si>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</si>
  <si>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</si>
  <si>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</si>
  <si>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</si>
  <si>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</si>
  <si>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</si>
  <si>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</si>
  <si>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</si>
  <si>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</si>
  <si>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</si>
  <si>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</si>
  <si>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</si>
  <si>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</si>
  <si>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</si>
  <si>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</si>
  <si>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</si>
  <si>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</si>
  <si>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</si>
  <si>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</si>
  <si>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</si>
  <si>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</si>
  <si>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</si>
  <si>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</si>
  <si>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</si>
  <si>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</si>
  <si>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</si>
  <si>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</si>
  <si>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</si>
  <si>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</si>
  <si>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</si>
  <si>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</si>
  <si>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</si>
  <si>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</si>
  <si>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</si>
  <si>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</si>
  <si>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</si>
  <si>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</si>
  <si>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</si>
  <si>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</si>
  <si>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</si>
  <si>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</si>
  <si>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</si>
  <si>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</si>
  <si>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</si>
  <si>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</si>
  <si>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</si>
  <si>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</si>
  <si>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</si>
  <si>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</si>
  <si>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</si>
  <si>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</si>
  <si>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</si>
  <si>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</si>
  <si>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</si>
  <si>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</si>
  <si>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</si>
  <si>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</si>
  <si>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</si>
  <si>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</si>
  <si>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</si>
  <si>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</si>
  <si>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</si>
  <si>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</si>
  <si>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</si>
  <si>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</si>
  <si>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</si>
  <si>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</si>
  <si>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</si>
  <si>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</si>
  <si>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</si>
  <si>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</si>
  <si>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</si>
  <si>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</si>
  <si>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</si>
  <si>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</si>
  <si>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</si>
  <si>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</si>
  <si>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</si>
  <si>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</si>
  <si>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</si>
  <si>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</si>
  <si>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</si>
  <si>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</si>
  <si>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</si>
  <si>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</si>
  <si>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</si>
  <si>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</si>
  <si>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</si>
  <si>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</si>
  <si>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</si>
  <si>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</si>
  <si>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</si>
  <si>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</si>
  <si>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</si>
  <si>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</si>
  <si>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</si>
  <si>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</si>
  <si>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</si>
  <si>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</si>
  <si>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</si>
  <si>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</si>
  <si>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</si>
  <si>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</si>
  <si>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</si>
  <si>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</si>
  <si>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</si>
  <si>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</si>
  <si>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</si>
  <si>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</si>
  <si>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</si>
  <si>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</si>
  <si>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</si>
  <si>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</si>
  <si>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</si>
  <si>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</si>
  <si>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</si>
  <si>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</si>
  <si>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</si>
  <si>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</si>
  <si>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</si>
  <si>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</si>
  <si>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</si>
  <si>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</si>
  <si>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</si>
  <si>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</si>
  <si>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</si>
  <si>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</si>
  <si>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</si>
  <si>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</si>
  <si>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</si>
  <si>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</si>
  <si>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</si>
  <si>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</si>
  <si>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</si>
  <si>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</si>
  <si>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</si>
  <si>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</si>
  <si>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</si>
  <si>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</si>
  <si>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</si>
  <si>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</si>
  <si>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</si>
  <si>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</si>
  <si>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</si>
  <si>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</si>
  <si>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</si>
  <si>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</si>
  <si>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</si>
  <si>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</si>
  <si>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</si>
  <si>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</si>
  <si>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</si>
  <si>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</si>
  <si>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</si>
  <si>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</si>
  <si>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</si>
  <si>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</si>
  <si>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</si>
  <si>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</si>
  <si>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</si>
  <si>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</si>
  <si>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</si>
  <si>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</si>
  <si>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</si>
  <si>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</si>
  <si>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</si>
  <si>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</si>
  <si>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</si>
  <si>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</si>
  <si>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</si>
  <si>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</si>
  <si>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</si>
  <si>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</si>
  <si>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</si>
  <si>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</si>
  <si>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</si>
  <si>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</si>
  <si>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</si>
  <si>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</si>
  <si>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</si>
  <si>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</si>
  <si>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</si>
  <si>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</si>
  <si>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</si>
  <si>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</si>
  <si>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</si>
  <si>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</si>
  <si>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</si>
  <si>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</si>
  <si>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</si>
  <si>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</si>
  <si>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</si>
  <si>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</si>
  <si>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</si>
  <si>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</si>
  <si>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</si>
  <si>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</si>
  <si>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</si>
  <si>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</si>
  <si>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</si>
  <si>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</si>
  <si>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</si>
  <si>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</si>
  <si>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</si>
  <si>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</si>
  <si>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</si>
  <si>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</si>
  <si>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</si>
  <si>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</si>
  <si>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</si>
  <si>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</si>
  <si>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</si>
  <si>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</si>
  <si>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</si>
  <si>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</si>
  <si>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</si>
  <si>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</si>
  <si>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</si>
  <si>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</si>
  <si>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</si>
  <si>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</si>
  <si>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</si>
  <si>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</si>
  <si>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</si>
  <si>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</si>
  <si>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</si>
  <si>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</si>
  <si>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</si>
  <si>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</si>
  <si>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</si>
  <si>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</si>
  <si>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</si>
  <si>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</si>
  <si>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</si>
  <si>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</si>
  <si>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</si>
  <si>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</si>
  <si>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</si>
  <si>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</si>
  <si>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</si>
  <si>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</si>
  <si>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</si>
  <si>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</si>
  <si>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</si>
  <si>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</si>
  <si>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</si>
  <si>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</si>
  <si>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</si>
  <si>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</si>
  <si>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</si>
  <si>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</si>
  <si>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</si>
  <si>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</si>
  <si>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</si>
  <si>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</si>
  <si>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</si>
  <si>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</si>
  <si>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</si>
  <si>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</si>
  <si>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</si>
  <si>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</si>
  <si>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</si>
  <si>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</si>
  <si>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</si>
  <si>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</si>
  <si>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</si>
  <si>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</si>
  <si>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</si>
  <si>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</si>
  <si>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</si>
  <si>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</si>
  <si>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</si>
  <si>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</si>
  <si>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</si>
  <si>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</si>
  <si>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</si>
  <si>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</si>
  <si>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</si>
  <si>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</si>
  <si>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</si>
  <si>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</si>
  <si>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</si>
  <si>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</si>
  <si>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</si>
  <si>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</si>
  <si>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</si>
  <si>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</si>
  <si>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</si>
  <si>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</si>
  <si>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</si>
  <si>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</si>
  <si>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</si>
  <si>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</si>
  <si>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</si>
  <si>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</si>
  <si>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</si>
  <si>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</si>
  <si>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</si>
  <si>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</si>
  <si>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</si>
  <si>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</si>
  <si>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</si>
  <si>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</si>
  <si>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</si>
  <si>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</si>
  <si>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</si>
  <si>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</si>
  <si>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</si>
  <si>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</si>
  <si>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</si>
  <si>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</si>
  <si>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</si>
  <si>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</si>
  <si>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</si>
  <si>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</si>
  <si>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</si>
  <si>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</si>
  <si>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</si>
  <si>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</si>
  <si>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</si>
  <si>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</si>
  <si>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</si>
  <si>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</si>
  <si>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</si>
  <si>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</si>
  <si>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</si>
  <si>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</si>
  <si>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</si>
  <si>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</si>
  <si>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</si>
  <si>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</si>
  <si>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</si>
  <si>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</si>
  <si>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</si>
  <si>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</si>
  <si>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</si>
  <si>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</si>
  <si>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</si>
  <si>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</si>
  <si>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</si>
  <si>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</si>
  <si>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</si>
  <si>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</si>
  <si>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</si>
  <si>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</si>
  <si>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</si>
  <si>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</si>
  <si>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</si>
  <si>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</si>
  <si>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</si>
  <si>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</si>
  <si>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</si>
  <si>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</si>
  <si>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</si>
  <si>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</si>
  <si>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</si>
  <si>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</si>
  <si>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</si>
  <si>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</si>
  <si>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</si>
  <si>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</si>
  <si>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</si>
  <si>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</si>
  <si>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</si>
  <si>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</si>
  <si>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</si>
  <si>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</si>
  <si>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</si>
  <si>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</si>
  <si>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</si>
  <si>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</si>
  <si>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</si>
  <si>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</si>
  <si>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</si>
  <si>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</si>
  <si>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</si>
  <si>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</si>
  <si>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</si>
  <si>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</si>
  <si>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</si>
  <si>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</si>
  <si>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</si>
  <si>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</si>
  <si>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</si>
  <si>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</si>
  <si>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</si>
  <si>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</si>
  <si>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</si>
  <si>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</si>
  <si>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</si>
  <si>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</si>
  <si>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</si>
  <si>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</si>
  <si>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</si>
  <si>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</si>
  <si>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</si>
  <si>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</si>
  <si>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</si>
  <si>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</si>
  <si>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</si>
  <si>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</si>
  <si>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</si>
  <si>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</si>
  <si>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</si>
  <si>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</si>
  <si>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</si>
  <si>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</si>
  <si>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</si>
  <si>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</si>
  <si>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</si>
  <si>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</si>
  <si>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</si>
  <si>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</si>
  <si>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</si>
  <si>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</si>
  <si>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</si>
  <si>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</si>
  <si>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</si>
  <si>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</si>
  <si>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</si>
  <si>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</si>
  <si>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</si>
  <si>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</si>
  <si>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</si>
  <si>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</si>
  <si>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</si>
  <si>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</si>
  <si>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</si>
  <si>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</si>
  <si>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</si>
  <si>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</si>
  <si>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</si>
  <si>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</si>
  <si>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</si>
  <si>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</si>
  <si>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</si>
  <si>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</si>
  <si>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</si>
  <si>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</si>
  <si>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</si>
  <si>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</si>
  <si>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</si>
  <si>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</si>
  <si>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</si>
  <si>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</si>
  <si>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</si>
  <si>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</si>
  <si>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</si>
  <si>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</si>
  <si>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</si>
  <si>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</si>
  <si>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</si>
  <si>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</si>
  <si>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</si>
  <si>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</si>
  <si>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</si>
  <si>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</si>
  <si>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</si>
  <si>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</si>
  <si>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</si>
  <si>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</si>
  <si>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</si>
  <si>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</si>
  <si>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</si>
  <si>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</si>
  <si>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</si>
  <si>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</si>
  <si>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</si>
  <si>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</si>
  <si>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</si>
  <si>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</si>
  <si>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</si>
  <si>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</si>
  <si>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</si>
  <si>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</si>
  <si>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</si>
  <si>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</si>
  <si>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</si>
  <si>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</si>
  <si>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</si>
  <si>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</si>
  <si>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</si>
  <si>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</si>
  <si>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</si>
  <si>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</si>
  <si>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</si>
  <si>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</si>
  <si>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</si>
  <si>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</si>
  <si>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</si>
  <si>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</si>
  <si>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</si>
  <si>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</si>
  <si>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</si>
  <si>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</si>
  <si>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</si>
  <si>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</si>
  <si>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</si>
  <si>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</si>
  <si>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</si>
  <si>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</si>
  <si>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</si>
  <si>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</si>
  <si>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</si>
  <si>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</si>
  <si>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</si>
  <si>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</si>
  <si>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</si>
  <si>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</si>
  <si>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</si>
  <si>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</si>
  <si>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</si>
  <si>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</si>
  <si>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</si>
  <si>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</si>
  <si>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</si>
  <si>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</si>
  <si>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</si>
  <si>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</si>
  <si>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</si>
  <si>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</si>
  <si>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</si>
  <si>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</si>
  <si>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</si>
  <si>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</si>
  <si>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</si>
  <si>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</si>
  <si>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</si>
  <si>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</si>
  <si>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</si>
  <si>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</si>
  <si>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</si>
  <si>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</si>
  <si>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</si>
  <si>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</si>
  <si>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</si>
  <si>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</si>
  <si>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</si>
  <si>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</si>
  <si>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</si>
  <si>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</si>
  <si>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</si>
  <si>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</si>
  <si>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</si>
  <si>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</si>
  <si>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</si>
  <si>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</si>
  <si>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</si>
  <si>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</si>
  <si>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</si>
  <si>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</si>
  <si>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</si>
  <si>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</si>
  <si>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</si>
  <si>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</si>
  <si>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</si>
  <si>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</si>
  <si>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</si>
  <si>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</si>
  <si>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</si>
  <si>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</si>
  <si>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</si>
  <si>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</si>
  <si>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</si>
  <si>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</si>
  <si>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</si>
  <si>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</si>
  <si>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</si>
  <si>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</si>
  <si>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</si>
  <si>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</si>
  <si>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</si>
  <si>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</si>
  <si>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</si>
  <si>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</si>
  <si>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</si>
  <si>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</si>
  <si>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</si>
  <si>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</si>
  <si>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</si>
  <si>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</si>
  <si>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</si>
  <si>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</si>
  <si>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</si>
  <si>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</si>
  <si>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</si>
  <si>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</si>
  <si>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</si>
  <si>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</si>
  <si>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</si>
  <si>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</si>
  <si>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</si>
  <si>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</si>
  <si>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</si>
  <si>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</si>
  <si>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</si>
  <si>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</si>
  <si>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</si>
  <si>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</si>
  <si>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</si>
  <si>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</si>
  <si>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</si>
  <si>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</si>
  <si>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</si>
  <si>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</si>
  <si>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</si>
  <si>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</si>
  <si>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</si>
  <si>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</si>
  <si>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</si>
  <si>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</si>
  <si>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</si>
  <si>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</si>
  <si>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</si>
  <si>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</si>
  <si>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</si>
  <si>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</si>
  <si>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</si>
  <si>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</si>
  <si>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</si>
  <si>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</si>
  <si>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</si>
  <si>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</si>
  <si>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</si>
  <si>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</si>
  <si>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</si>
  <si>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</si>
  <si>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</si>
  <si>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</si>
  <si>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</si>
  <si>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</si>
  <si>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</si>
  <si>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</si>
  <si>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</si>
  <si>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</si>
  <si>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</si>
  <si>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</si>
  <si>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</si>
  <si>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</si>
  <si>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</si>
  <si>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</si>
  <si>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</si>
  <si>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</si>
  <si>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</si>
  <si>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</si>
  <si>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</si>
  <si>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</si>
  <si>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</si>
  <si>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</si>
  <si>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</si>
  <si>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</si>
  <si>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</si>
  <si>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</si>
  <si>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</si>
  <si>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</si>
  <si>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</si>
  <si>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</si>
  <si>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</si>
  <si>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</si>
  <si>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</si>
  <si>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</si>
  <si>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</si>
  <si>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</si>
  <si>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</si>
  <si>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</si>
  <si>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</si>
  <si>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</si>
  <si>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</si>
  <si>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</si>
  <si>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</si>
  <si>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</si>
  <si>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</si>
  <si>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</si>
  <si>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</si>
  <si>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</si>
  <si>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</si>
  <si>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</si>
  <si>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</si>
  <si>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</si>
  <si>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</si>
  <si>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</si>
  <si>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</si>
  <si>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</si>
  <si>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</si>
  <si>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</si>
  <si>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</si>
  <si>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</si>
  <si>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</si>
  <si>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</si>
  <si>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</si>
  <si>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</si>
  <si>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</si>
  <si>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</si>
  <si>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</si>
  <si>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</si>
  <si>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</si>
  <si>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</si>
  <si>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</si>
  <si>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</si>
  <si>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</si>
  <si>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</si>
  <si>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</si>
  <si>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</si>
  <si>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</si>
  <si>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</si>
  <si>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</si>
  <si>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</si>
  <si>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</si>
  <si>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</si>
  <si>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</si>
  <si>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</si>
  <si>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</si>
  <si>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</si>
  <si>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</si>
  <si>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</si>
  <si>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</si>
  <si>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</si>
  <si>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</si>
  <si>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</si>
  <si>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</si>
  <si>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</si>
  <si>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</si>
  <si>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</si>
  <si>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</si>
  <si>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</si>
  <si>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</si>
  <si>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</si>
  <si>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</si>
  <si>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</si>
  <si>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</si>
  <si>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</si>
  <si>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</si>
  <si>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</si>
  <si>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</si>
  <si>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</si>
  <si>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</si>
  <si>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</si>
  <si>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</si>
  <si>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</si>
  <si>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</si>
  <si>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</si>
  <si>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</si>
  <si>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</si>
  <si>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</si>
  <si>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</si>
  <si>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</si>
  <si>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</si>
  <si>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</si>
  <si>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</si>
  <si>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</si>
  <si>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</si>
  <si>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</si>
  <si>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</si>
  <si>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</si>
  <si>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</si>
  <si>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</si>
  <si>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</si>
  <si>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</si>
  <si>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</si>
  <si>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</si>
  <si>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</si>
  <si>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</si>
  <si>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</si>
  <si>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</si>
  <si>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</si>
  <si>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</si>
  <si>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</si>
  <si>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</si>
  <si>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</si>
  <si>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</si>
  <si>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</si>
  <si>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</si>
  <si>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</si>
  <si>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</si>
  <si>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</si>
  <si>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</si>
  <si>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</si>
  <si>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</si>
  <si>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</si>
  <si>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</si>
  <si>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</si>
  <si>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</si>
  <si>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</si>
  <si>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</si>
  <si>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</si>
  <si>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</si>
  <si>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</si>
  <si>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</si>
  <si>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</si>
  <si>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</si>
  <si>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</si>
  <si>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</si>
  <si>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</si>
  <si>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</si>
  <si>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</si>
  <si>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</si>
  <si>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</si>
  <si>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</si>
  <si>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</si>
  <si>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</si>
  <si>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</si>
  <si>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</si>
  <si>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</si>
  <si>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</si>
  <si>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</si>
  <si>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</si>
  <si>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</si>
  <si>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</si>
  <si>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</si>
  <si>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</si>
  <si>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</si>
  <si>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</si>
  <si>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</si>
  <si>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</si>
  <si>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</si>
  <si>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</si>
  <si>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</si>
  <si>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</si>
  <si>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</si>
  <si>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</si>
  <si>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</si>
  <si>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</si>
  <si>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</si>
  <si>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</si>
  <si>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</si>
  <si>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</si>
  <si>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</si>
  <si>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</si>
  <si>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</si>
  <si>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</si>
  <si>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</si>
  <si>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</si>
  <si>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</si>
  <si>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</si>
  <si>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</si>
  <si>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</si>
  <si>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</si>
  <si>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</si>
  <si>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</si>
  <si>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</si>
  <si>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</si>
  <si>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</si>
  <si>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</si>
  <si>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</si>
  <si>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</si>
  <si>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</si>
  <si>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</si>
  <si>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</si>
  <si>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</si>
  <si>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</si>
  <si>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</si>
  <si>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</si>
  <si>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</si>
  <si>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</si>
  <si>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</si>
  <si>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</si>
  <si>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</si>
  <si>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</si>
  <si>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</si>
  <si>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</si>
  <si>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</si>
  <si>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</si>
  <si>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</si>
  <si>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</si>
  <si>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a - korfbal - bežné transfery</t>
  </si>
  <si>
    <t>BV2</t>
  </si>
  <si>
    <t>BV3</t>
  </si>
  <si>
    <t>BV4</t>
  </si>
  <si>
    <t>2281</t>
  </si>
  <si>
    <t>Nákup cartridge HP 305 čierny a farebný pre interné potreby SAK</t>
  </si>
  <si>
    <t>35739487</t>
  </si>
  <si>
    <t>NAY a.s. Tuhovská 15, 83006 Bratislava, Nábrežná 1913/5A, 971 01 Prievidza</t>
  </si>
  <si>
    <t>2026036</t>
  </si>
  <si>
    <t>48142646</t>
  </si>
  <si>
    <t>Self storage center Prievidza s.r.o., Priemyselná 2763/12, 971 01 Prievidza</t>
  </si>
  <si>
    <t>2026.011</t>
  </si>
  <si>
    <t>International Korfball Federation, Erik Buizer</t>
  </si>
  <si>
    <t>2026004605</t>
  </si>
  <si>
    <t>Výroba 80 ks tmavomodrých tričiek pre SAK</t>
  </si>
  <si>
    <t>46314491</t>
  </si>
  <si>
    <t>Mesčný poplatok za prenájom self storage Xs a 4  policový regál</t>
  </si>
  <si>
    <t>ATAK Sportsweare, ADY, s.r.o. Jarková 4, 08001 Prešov</t>
  </si>
  <si>
    <t>Nákup cartrige HP 305 farebný a čierny pre interné potreby SAK</t>
  </si>
  <si>
    <t>1650</t>
  </si>
  <si>
    <t>9500049920</t>
  </si>
  <si>
    <t>31592503</t>
  </si>
  <si>
    <t>Poradca podnikateľa spol s.r.o., Martina Rázusa 23 A 01001 Žilina</t>
  </si>
  <si>
    <t>8826012418</t>
  </si>
  <si>
    <t>Ekonomický software Kros pre potreby vedenia účtovnictva SAK</t>
  </si>
  <si>
    <t>31635903</t>
  </si>
  <si>
    <t>KROS a.s. Bytčická 9009/14, 01001 Žilina</t>
  </si>
  <si>
    <t>Predplatné programu premium Grant Expert</t>
  </si>
  <si>
    <t>Nákup športového náradia pre potreby tréningov a prípravných kempov SAK</t>
  </si>
  <si>
    <t>64005</t>
  </si>
  <si>
    <t>29389593</t>
  </si>
  <si>
    <t>Internetový obchod Hop-Sport, prevádzkuje Hegen Česko Sp. s.r.o., ul. Stavbarú 2201/36 734 01 Karviná</t>
  </si>
  <si>
    <t>53484</t>
  </si>
  <si>
    <t>47454890</t>
  </si>
  <si>
    <t>Granexpert s.r.o. Záhradnícka 72 821 08 Bratislava</t>
  </si>
  <si>
    <t>00308650</t>
  </si>
  <si>
    <t>Obec Výčapy-Opatovce, Výčapská 467/14, 951 44 Výčapy-Opatovce</t>
  </si>
  <si>
    <t>2026.081</t>
  </si>
  <si>
    <t>Slvenská asociácia korfbalu, Makovického ulica 498/6, 971 01 Prievidza</t>
  </si>
  <si>
    <t>Podpora klubu Slovenský korfbalový klub Dolphins Prievidza</t>
  </si>
  <si>
    <t>Podpora  klubu KK SPU Nitra</t>
  </si>
  <si>
    <t>Wizz Air Hungary Ltd.</t>
  </si>
  <si>
    <t>481493349</t>
  </si>
  <si>
    <t>2026200699</t>
  </si>
  <si>
    <t>Magacukrovinky sk. LPNH Capital s.r.o. Fryčovice 135 739 45 Česká republika</t>
  </si>
  <si>
    <t>Metro Cash and Carry SR s.r.o., Senecká cesta 1881, 90028 Ivanka pri Dunaji</t>
  </si>
  <si>
    <t>45952671</t>
  </si>
  <si>
    <t>747</t>
  </si>
  <si>
    <t>00308307</t>
  </si>
  <si>
    <t>Mesto Nitra, Štefánikova trieda 60, 950 06 Nitra</t>
  </si>
  <si>
    <t>0006</t>
  </si>
  <si>
    <t>Viking Hotels, Kemer Antalya</t>
  </si>
  <si>
    <t>Mesačný poplatok za prenájom self storage XS a 4 policový regál</t>
  </si>
  <si>
    <t>Platba cartrige HP 305 čierny a farebný pre interné potreby SAK</t>
  </si>
  <si>
    <t>Výroba dresov pre reprezentačné účely SAK v počte 32 kusov, sukne 16 kusov a trenky 16 kusov a vlajočky v počte 10 kusov</t>
  </si>
  <si>
    <t>47027703</t>
  </si>
  <si>
    <t>ADRA ATTIS, s.r.o., Priemyselná 12, 971 01 Prievidza</t>
  </si>
  <si>
    <t>26062</t>
  </si>
  <si>
    <t>Nákup online materialu Dane pre potreby účtovníctva SAK</t>
  </si>
  <si>
    <t>20/2026, 24/2026</t>
  </si>
  <si>
    <t>16/2026, 23/2026</t>
  </si>
  <si>
    <t>2026066</t>
  </si>
  <si>
    <t>226001483253</t>
  </si>
  <si>
    <t>Austrian Airlines AG, Vienna, Office park 2, A-1300 Vienna airport</t>
  </si>
  <si>
    <t>Letenky holandsky trener Amsterdam Vien a späť</t>
  </si>
  <si>
    <t>Nákup a výroba teplákovych súprav pre potreby reprezentácie SAK 8 dámskych a 12 pánskych súprav</t>
  </si>
  <si>
    <t>35935448</t>
  </si>
  <si>
    <t>SINTRA šport, s.r.o. Divízia Trenčín Zlatovská 1962 911 05 Trenčín, sídlo SINTRA šport s.r.o.Pluhová 2 831 03 Bratislava</t>
  </si>
  <si>
    <t>12600274</t>
  </si>
  <si>
    <t>26VF078</t>
  </si>
  <si>
    <t>52362001</t>
  </si>
  <si>
    <t>Reštaurácia Meridiana s.r.o. Zámok a Okolie 1774/3B 972 01 Bojnice</t>
  </si>
  <si>
    <t>26VF079</t>
  </si>
  <si>
    <t>52030717</t>
  </si>
  <si>
    <t>Penzión Meridiana s.r.o.Zámok a Okolie 1774/3B 972 01 Bojnice</t>
  </si>
  <si>
    <t>2600100046</t>
  </si>
  <si>
    <t>31579183</t>
  </si>
  <si>
    <t>Technické služby mesta Prievidza s.r.o. Mariánska 17 971 01 Prievidza</t>
  </si>
  <si>
    <t>2680074</t>
  </si>
  <si>
    <t>Ekonomický software Kros pre potreby vedenia účtovníctva SAK</t>
  </si>
  <si>
    <t>Zabezpečenie stravy a nápojov pre potreby reprezentačného kempu U 19 14 hráčov a 2 tréneri dňa 07.03.2026</t>
  </si>
  <si>
    <t>Prenájom hala Výčapy Opatovce pre potreby kempu U 19 Slovensko, 14 hráčov a 2 tréneri dňa 07.03.2026</t>
  </si>
  <si>
    <t xml:space="preserve">MK Amigo s.r.o. Juh 861/11 951 44 Výčapy-Opatovce Slovensko predajné miesto Spojovacia 2/870 951 44 Výčapy Opatovce </t>
  </si>
  <si>
    <t>46928383</t>
  </si>
  <si>
    <t>5567,5568</t>
  </si>
  <si>
    <t>Zabezpečenie stravy a nápojov pre potreby reprezentačného kempu U 19 15 hráčov a 2 tréneri dňa 21.03.2026</t>
  </si>
  <si>
    <t>Zabezpečenie stravy pre prípravné kempy U 19 12 hráčov a 2 tréneri  a U15 20 hráčov a 3 tréneri dňa 22.03.2026</t>
  </si>
  <si>
    <t>Zabezpečenie stravy pre holandského trénera pre U 19  dňa 20.03.2026</t>
  </si>
  <si>
    <t>Ubytovanie  holandský tréner pre U 19 20.03.-22.03.2026</t>
  </si>
  <si>
    <t>Prenájom hala Výčapy Opatovce pre potreby kempu U 19, 15 hráčov a 2 tréneri dňa 21.03.2026</t>
  </si>
  <si>
    <t>Entry fee IKF European Korfball Championship 2026 Down Payment  16-24 October 2026 Kutna Hora Czech republik</t>
  </si>
  <si>
    <t>FE012630002</t>
  </si>
  <si>
    <t>46259317</t>
  </si>
  <si>
    <t>Stores in sportline Sk s.r.o.Električná 6471 91101 Trenčín</t>
  </si>
  <si>
    <t>Teleobjektiv 50X Telephoto Lens kit pre  fotenie športových zápasov, tréningov a korfbalových súťaži pre potreby SAK a fit lopta na posilňovanie pre potreby mládežnických tréningov a sústredení SAK</t>
  </si>
  <si>
    <t>BV7</t>
  </si>
  <si>
    <t>Prima banka Slovensko, a.s. Pobočka Bratislava SNP Hodžova 11, 010 11 Žilina</t>
  </si>
  <si>
    <t>31575951</t>
  </si>
  <si>
    <t>BV8</t>
  </si>
  <si>
    <t>Mesačný výpis z bankového účtu SAK 08/2025</t>
  </si>
  <si>
    <t>Mesačný výpis z bankového účtu SAK 07/2025</t>
  </si>
  <si>
    <t>BV9</t>
  </si>
  <si>
    <t>BV10</t>
  </si>
  <si>
    <t>BV11</t>
  </si>
  <si>
    <t>BV12</t>
  </si>
  <si>
    <t>BV1</t>
  </si>
  <si>
    <t>40951901</t>
  </si>
  <si>
    <t>Ing. Eva Vrabcová Ľudovíta Okánika 592/8, 949 01 Nitra</t>
  </si>
  <si>
    <t>Platba za stravovanie pre prípravný kemp U 15 Nitra počet hráčov 14 a 2 tréneri dňa 19.04.2025</t>
  </si>
  <si>
    <t>Trans real s.r.o. A.Škarvana 351/7 971 01 Prievidza</t>
  </si>
  <si>
    <t>36351938</t>
  </si>
  <si>
    <t>Prenájom dodávky pre prepravu U 19 reprezentácie 8 osôb Prievidza Budapešť letisko a späť  02.04.2026 a 06.04.2026</t>
  </si>
  <si>
    <t>2026003</t>
  </si>
  <si>
    <t>Platba entry fee U 19 (O)EKC 2026 Kemer Turkey  03.04.2026-05.04.2026 13 hráčov a 2 tréneri</t>
  </si>
  <si>
    <t>COOP Jednota Prievidza, spotrebné družstvo A. Hlinku I.437, 97168 Prievidza Novackého 319/27, 971 01 Prievidza</t>
  </si>
  <si>
    <t>00169005</t>
  </si>
  <si>
    <t>3173</t>
  </si>
  <si>
    <t>45458421</t>
  </si>
  <si>
    <t>K-graphic s.r.o. Nábrežná 4, 971 04 Prievidza</t>
  </si>
  <si>
    <t>Výroba a potlač 12 kusov bielych tričiek s logom Korfball team</t>
  </si>
  <si>
    <t>202608</t>
  </si>
  <si>
    <t>07429142</t>
  </si>
  <si>
    <t>37/2026</t>
  </si>
  <si>
    <t>271</t>
  </si>
  <si>
    <t>112610362</t>
  </si>
  <si>
    <t>0000508</t>
  </si>
  <si>
    <t>6312</t>
  </si>
  <si>
    <t>Prenájom športovej haly pre potrebu sústredenia reprezentácie U 15 20 hráčov a 3 tréneri a U 19 12 hráčov a 2 tréneri 22.03.2026</t>
  </si>
  <si>
    <t>Polski Zwiazek Korfballu ul.Bagatela 10/10, 00-585 Warszawa</t>
  </si>
  <si>
    <t>IKF  platba U 19 Turecko , accomodation, accreditation fee, airport transport,  U 19 počet 13 hráčov a 3 tréneri</t>
  </si>
  <si>
    <t>26.03.2026  26.03.2026 27.03.2026 27.03.2026 27.03.2026 30.03.2026 30.03.2026</t>
  </si>
  <si>
    <t>Polski zwiazek korfball platba ubytovanie ME U 15 16 hráčov a 3 tréneri Wroclaw 3-5.07.2026</t>
  </si>
  <si>
    <t>VPD11</t>
  </si>
  <si>
    <t>VPD12</t>
  </si>
  <si>
    <t>VPD13</t>
  </si>
  <si>
    <t>VPD 14</t>
  </si>
  <si>
    <t>VPD 15</t>
  </si>
  <si>
    <t>Prenájom hala detská liga Nitra RNDr. Tomáš Sonnenschein U 9, U 11, U 15, U 17 22.02.2026.Počet hráčov 165, tréneri 11</t>
  </si>
  <si>
    <t>Odmeny sladkosti detská liga Nitra 2025 U 9, U 11, U 15, U 17 22.02.2026.Počet hráčov 165, tréneri 11</t>
  </si>
  <si>
    <t>Zabezpečenie cukroviniek pre detskú ligu tic tac a chupa chups Prievidza 29.03.2026 U 9, U 11, U 15, U 17.Počet hráčov 173, tréneri 12</t>
  </si>
  <si>
    <t>Detská liga odmeny veľkonočný zajac a tyčinky Prievidza 29.03.2026 U 9, U 11, U 15, U 17.Pocet hráčov 165, tréneri 11</t>
  </si>
  <si>
    <t>Nákup leteniek pre U 19 v počte 13 hráčov a 3 tréneri  ks , Kemer Turecko konané v dňoch 3.04.-5.04.2026</t>
  </si>
  <si>
    <t>Kontaktná osoba zodpovedná za vyplnený formulár
meno a priezvisko:Martin Sonoga
e-mail:martinsonoga@gmail.com
tel. kontakt (mobil):0911 361 044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</si>
</sst>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2"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6" t="s">
        <v>0</v>
      </c>
      <c r="C1" s="334"/>
      <c r="D1" s="334"/>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5" customHeight="1" x14ac:dyDescent="0.25">
      <c r="A12" s="302" t="s">
        <v>1349</v>
      </c>
      <c r="C12" s="205"/>
      <c r="D12" s="205"/>
    </row>
    <row r="13" spans="1:4" s="18" customFormat="1" ht="23.5"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75" customHeight="1" x14ac:dyDescent="0.25">
      <c r="A19" s="21"/>
      <c r="B19" s="257"/>
      <c r="C19" s="21"/>
    </row>
    <row r="20" spans="1:4" ht="26.25" customHeight="1" x14ac:dyDescent="0.25">
      <c r="A20" s="297" t="s">
        <v>8</v>
      </c>
      <c r="C20" s="21"/>
    </row>
    <row r="21" spans="1:4" ht="38" x14ac:dyDescent="0.25">
      <c r="A21" s="19" t="s">
        <v>9</v>
      </c>
      <c r="C21" s="335"/>
      <c r="D21" s="335"/>
    </row>
    <row r="22" spans="1:4" x14ac:dyDescent="0.25">
      <c r="C22" s="336"/>
      <c r="D22" s="335"/>
    </row>
    <row r="23" spans="1:4" ht="64" x14ac:dyDescent="0.25">
      <c r="A23" s="23" t="s">
        <v>1350</v>
      </c>
      <c r="C23" s="255"/>
      <c r="D23" s="256"/>
    </row>
    <row r="24" spans="1:4" ht="12.75" customHeight="1" x14ac:dyDescent="0.25">
      <c r="C24" s="332"/>
      <c r="D24" s="333"/>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75" customHeight="1" x14ac:dyDescent="0.25"/>
    <row r="33" spans="1:3" ht="15.75" customHeight="1" x14ac:dyDescent="0.25">
      <c r="A33" s="19" t="s">
        <v>1332</v>
      </c>
    </row>
    <row r="34" spans="1:3" ht="12.7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09"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5"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1346</v>
      </c>
    </row>
    <row r="133" spans="1:1" ht="61.5" customHeight="1" x14ac:dyDescent="0.25">
      <c r="A133" s="301" t="s">
        <v>1358</v>
      </c>
    </row>
    <row r="134" spans="1:1" ht="13" x14ac:dyDescent="0.25">
      <c r="A134" s="260" t="s">
        <v>1359</v>
      </c>
    </row>
    <row r="135" spans="1:1" ht="101" x14ac:dyDescent="0.25">
      <c r="A135" s="301" t="s">
        <v>1347</v>
      </c>
    </row>
    <row r="136" spans="1:1" x14ac:dyDescent="0.25">
      <c r="A136"/>
    </row>
    <row r="137" spans="1:1" ht="71.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Slovenská asociácia korfbalu, Makovického 6, Prievidza, 971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5" customHeight="1" x14ac:dyDescent="0.25">
      <c r="A14" s="139" t="s">
        <v>1264</v>
      </c>
      <c r="B14" s="385" t="s">
        <v>1282</v>
      </c>
      <c r="C14" s="386"/>
      <c r="F14" s="311"/>
      <c r="N14" s="137" t="str">
        <f t="shared" si="0"/>
        <v xml:space="preserve">n - </v>
      </c>
      <c r="O14" s="137" t="s">
        <v>364</v>
      </c>
    </row>
    <row r="15" spans="1:16" ht="34.5" customHeight="1" x14ac:dyDescent="0.25">
      <c r="A15" s="139" t="s">
        <v>1283</v>
      </c>
      <c r="B15" s="385"/>
      <c r="C15" s="386"/>
      <c r="F15" s="388"/>
      <c r="N15" s="137" t="str">
        <f t="shared" si="0"/>
        <v xml:space="preserve">o - </v>
      </c>
      <c r="O15" s="137" t="s">
        <v>365</v>
      </c>
    </row>
    <row r="16" spans="1:16" x14ac:dyDescent="0.25">
      <c r="A16" s="139" t="s">
        <v>1267</v>
      </c>
      <c r="B16" s="142">
        <f>F8</f>
        <v>0</v>
      </c>
      <c r="C16" s="137"/>
      <c r="F16" s="388"/>
      <c r="N16" s="137" t="str">
        <f t="shared" si="0"/>
        <v xml:space="preserve">p - </v>
      </c>
      <c r="O16" s="137" t="s">
        <v>366</v>
      </c>
    </row>
    <row r="17" spans="1:16" ht="32.25" customHeight="1" x14ac:dyDescent="0.25">
      <c r="A17" s="139" t="s">
        <v>1270</v>
      </c>
      <c r="B17" s="142">
        <f>F9</f>
        <v>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31940668</v>
      </c>
      <c r="F19" s="145" t="s">
        <v>1268</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1273</v>
      </c>
      <c r="G21" s="284">
        <v>421947749446</v>
      </c>
      <c r="H21" s="148"/>
      <c r="N21" s="137" t="str">
        <f>O21&amp;" - "&amp;P21</f>
        <v>026 01 - Šport pre všetkých, školský a univerzitný šport</v>
      </c>
      <c r="O21" s="137" t="s">
        <v>317</v>
      </c>
      <c r="P21" s="137" t="s">
        <v>318</v>
      </c>
    </row>
    <row r="22" spans="1:16" x14ac:dyDescent="0.25">
      <c r="A22" s="137"/>
      <c r="B22" s="137"/>
      <c r="F22" s="147" t="s">
        <v>1274</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7" t="s">
        <v>57</v>
      </c>
      <c r="B1" s="337"/>
      <c r="C1" s="337"/>
      <c r="D1" s="337"/>
      <c r="E1" s="337"/>
      <c r="F1" s="337"/>
      <c r="G1" s="337"/>
      <c r="H1" s="337"/>
      <c r="I1" s="52"/>
      <c r="J1" s="37"/>
    </row>
    <row r="2" spans="1:11" ht="15.5" x14ac:dyDescent="0.35">
      <c r="A2" s="343" t="s">
        <v>58</v>
      </c>
      <c r="B2" s="343"/>
      <c r="C2" s="343"/>
      <c r="D2" s="343"/>
      <c r="E2" s="343"/>
      <c r="F2" s="343"/>
      <c r="G2" s="343"/>
      <c r="H2" s="341" t="str">
        <f>+Doklady!I100</f>
        <v>V4</v>
      </c>
      <c r="I2" s="341"/>
    </row>
    <row r="3" spans="1:11" ht="14" x14ac:dyDescent="0.3">
      <c r="A3" s="40"/>
      <c r="B3" s="40"/>
      <c r="C3" s="40"/>
      <c r="D3" s="40"/>
      <c r="E3" s="40"/>
      <c r="F3" s="40"/>
      <c r="G3" s="40"/>
      <c r="H3" s="342">
        <f>+Doklady!I101</f>
        <v>46048</v>
      </c>
      <c r="I3" s="342"/>
    </row>
    <row r="4" spans="1:11" ht="15.75" customHeight="1" x14ac:dyDescent="0.3">
      <c r="A4" s="41" t="s">
        <v>59</v>
      </c>
      <c r="B4" s="338" t="s">
        <v>60</v>
      </c>
      <c r="C4" s="339"/>
      <c r="D4" s="339"/>
      <c r="E4" s="340"/>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46" t="s">
        <v>311</v>
      </c>
      <c r="B1" s="347"/>
      <c r="C1" s="174">
        <v>45688</v>
      </c>
      <c r="D1" s="26"/>
      <c r="G1" s="252">
        <v>45688</v>
      </c>
    </row>
    <row r="2" spans="1:7" ht="14" x14ac:dyDescent="0.3">
      <c r="A2" s="28"/>
      <c r="B2" s="28"/>
      <c r="G2" s="252">
        <v>45716</v>
      </c>
    </row>
    <row r="3" spans="1:7" ht="14" x14ac:dyDescent="0.3">
      <c r="A3" s="30" t="s">
        <v>312</v>
      </c>
      <c r="B3" s="344" t="str">
        <f>INDEX(Adr!B:B,Doklady!B102+1)</f>
        <v>Slovenská asociácia korfbalu</v>
      </c>
      <c r="C3" s="344"/>
      <c r="D3" s="344"/>
      <c r="G3" s="252">
        <v>45747</v>
      </c>
    </row>
    <row r="4" spans="1:7" ht="14" x14ac:dyDescent="0.3">
      <c r="A4" s="30" t="s">
        <v>313</v>
      </c>
      <c r="B4" s="29" t="str">
        <f>RIGHT("0000"&amp;INDEX(Adr!A:A,Doklady!B102+1),8)</f>
        <v>31940668</v>
      </c>
      <c r="G4" s="252">
        <v>45777</v>
      </c>
    </row>
    <row r="5" spans="1:7" ht="14" x14ac:dyDescent="0.3">
      <c r="A5" s="30" t="s">
        <v>314</v>
      </c>
      <c r="B5" s="29" t="str">
        <f>INDEX(Adr!D:D,Doklady!B102+1)&amp;", "&amp;INDEX(Adr!E:E,Doklady!B102+1)</f>
        <v>Makovického 6, Prievidza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29908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29908</v>
      </c>
      <c r="G15" s="252"/>
    </row>
    <row r="16" spans="1:7" ht="14" x14ac:dyDescent="0.3">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34" zoomScale="105" zoomScaleNormal="100" workbookViewId="0">
      <selection activeCell="D140" sqref="D140:I140"/>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7" t="s">
        <v>329</v>
      </c>
      <c r="B1" s="367"/>
      <c r="C1" s="367"/>
      <c r="D1" s="367"/>
      <c r="E1" s="367"/>
      <c r="F1" s="367"/>
      <c r="G1" s="367"/>
      <c r="H1" s="367"/>
      <c r="I1" s="367"/>
    </row>
    <row r="2" spans="1:26" ht="7.5" customHeight="1" x14ac:dyDescent="0.2">
      <c r="C2" s="8"/>
      <c r="D2" s="8"/>
      <c r="E2" s="8"/>
      <c r="F2" s="8"/>
      <c r="G2" s="8"/>
      <c r="H2" s="8"/>
      <c r="I2" s="8"/>
    </row>
    <row r="3" spans="1:26" s="9" customFormat="1" ht="26.25" customHeight="1" x14ac:dyDescent="0.25">
      <c r="B3" s="160" t="s">
        <v>59</v>
      </c>
      <c r="C3" s="368" t="str">
        <f>INDEX(Adr!B2:B240,Doklady!B102)</f>
        <v>Slovenská asociácia korfbalu</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31940668</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Makovického 6, Prievidza, 971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8" x14ac:dyDescent="0.4">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x14ac:dyDescent="0.4">
      <c r="A11" s="69" t="s">
        <v>319</v>
      </c>
      <c r="B11" s="70" t="s">
        <v>320</v>
      </c>
      <c r="C11" s="126">
        <f>SUMIF(FP!J:J,Doklady!$B$1&amp;A11,FP!D:D)</f>
        <v>29908</v>
      </c>
      <c r="D11" s="126">
        <f>+C11-E11</f>
        <v>29908</v>
      </c>
      <c r="E11" s="371">
        <f>+I39-I42+I44-I47</f>
        <v>0</v>
      </c>
      <c r="F11" s="372"/>
      <c r="J11" s="176"/>
      <c r="L11" s="161" t="str">
        <f>L41</f>
        <v>a - korfbal - bežné transfery</v>
      </c>
      <c r="M11" s="118"/>
      <c r="N11" s="118"/>
      <c r="O11" s="118"/>
      <c r="P11" s="118"/>
      <c r="Q11" s="118"/>
      <c r="R11" s="118"/>
      <c r="S11" s="118"/>
    </row>
    <row r="12" spans="1:26" ht="18" x14ac:dyDescent="0.4">
      <c r="A12" s="69" t="s">
        <v>321</v>
      </c>
      <c r="B12" s="70" t="s">
        <v>322</v>
      </c>
      <c r="C12" s="126">
        <f>SUMIF(FP!J:J,Doklady!$B$1&amp;A12,FP!D:D)</f>
        <v>0</v>
      </c>
      <c r="D12" s="126">
        <f>C12-E12</f>
        <v>0</v>
      </c>
      <c r="E12" s="363">
        <f>SUMIF(K:K,A12,I:I)</f>
        <v>0</v>
      </c>
      <c r="F12" s="364"/>
      <c r="J12" s="177"/>
      <c r="L12" s="161" t="str">
        <f>L42</f>
        <v>a - korfbal - kapitálové transfery</v>
      </c>
      <c r="N12" s="118"/>
      <c r="O12" s="118"/>
      <c r="P12" s="118"/>
      <c r="Q12" s="118"/>
      <c r="R12" s="118"/>
      <c r="S12" s="118"/>
    </row>
    <row r="13" spans="1:26" ht="18" x14ac:dyDescent="0.4">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29908</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2233</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2974</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korfbal</v>
      </c>
      <c r="C38" s="68" t="s">
        <v>1669</v>
      </c>
      <c r="D38" s="68" t="s">
        <v>1670</v>
      </c>
      <c r="E38" s="68" t="s">
        <v>1671</v>
      </c>
      <c r="F38" s="68" t="s">
        <v>1668</v>
      </c>
      <c r="G38" s="68" t="s">
        <v>370</v>
      </c>
      <c r="H38" s="68" t="s">
        <v>371</v>
      </c>
      <c r="I38" s="67" t="s">
        <v>327</v>
      </c>
      <c r="L38" s="84">
        <f>COUNTIF(FP!N:N,Doklady!B1&amp;"aB")</f>
        <v>1</v>
      </c>
    </row>
    <row r="39" spans="1:21" x14ac:dyDescent="0.2">
      <c r="A39" s="115" t="s">
        <v>339</v>
      </c>
      <c r="B39" s="116" t="s">
        <v>372</v>
      </c>
      <c r="C39" s="78">
        <f>I39*0.2</f>
        <v>5981.6</v>
      </c>
      <c r="D39" s="78">
        <f>I39*0.2</f>
        <v>5981.6</v>
      </c>
      <c r="E39" s="78">
        <f>I39*0.25</f>
        <v>7477</v>
      </c>
      <c r="F39" s="78">
        <f>+I39*0.15</f>
        <v>4486.2</v>
      </c>
      <c r="G39" s="78">
        <f>+MAX(I39-C39-D39-E39-F39-H39,0)</f>
        <v>5981.6000000000031</v>
      </c>
      <c r="H39" s="78">
        <f>+IFERROR(VLOOKUP(K40&amp;" - kapitálové transfery",B$53:C$90,2,0),0)</f>
        <v>0</v>
      </c>
      <c r="I39" s="73">
        <f>SUMIF(FP!K:K,K40,FP!D:D)</f>
        <v>29908</v>
      </c>
      <c r="L39" s="84">
        <f>COUNTIF(FP!N:N,Doklady!B1&amp;"aK")</f>
        <v>0</v>
      </c>
      <c r="T39" s="86"/>
    </row>
    <row r="40" spans="1:21" x14ac:dyDescent="0.2">
      <c r="A40" s="115" t="s">
        <v>339</v>
      </c>
      <c r="B40" s="116" t="s">
        <v>373</v>
      </c>
      <c r="C40" s="78">
        <f>DSUM(Doklady!A103:J10000,"GGG",Spolu!L40:M42)</f>
        <v>7883.84</v>
      </c>
      <c r="D40" s="78">
        <f>DSUM(Doklady!A103:J10000,"GGG",Spolu!N40:O42)</f>
        <v>8331.5</v>
      </c>
      <c r="E40" s="78">
        <f>DSUM(Doklady!A103:J10000,"GGG",Spolu!P40:Q42)</f>
        <v>10481</v>
      </c>
      <c r="F40" s="78">
        <f>DSUM(Doklady!A103:J10000,"GGG",Spolu!R40:S42)</f>
        <v>343.44</v>
      </c>
      <c r="G40" s="78">
        <f>DSUM(Doklady!A103:J10000,"GGG",Spolu!T40:U42)-H40</f>
        <v>2868.2200000000007</v>
      </c>
      <c r="H40" s="78">
        <f>+IFERROR(VLOOKUP(K40&amp;" - kapitálové transfery",B$53:D$90,3,0),0)</f>
        <v>0</v>
      </c>
      <c r="I40" s="73">
        <f>+C40+D40+E40+F40+G40+H40</f>
        <v>29908</v>
      </c>
      <c r="J40" s="218" t="str">
        <f>+K45</f>
        <v>.</v>
      </c>
      <c r="K40" s="218" t="str">
        <f>IF(L38&gt;0,INDEX(FP!K:K,Doklady!B2),".")</f>
        <v>korfbal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korfbal - bežné transfery</v>
      </c>
      <c r="M41" s="120">
        <v>1</v>
      </c>
      <c r="N41" s="161" t="str">
        <f>+L41</f>
        <v>a - korfbal - bežné transfery</v>
      </c>
      <c r="O41" s="120">
        <v>2</v>
      </c>
      <c r="P41" s="161" t="str">
        <f>+L41</f>
        <v>a - korfbal - bežné transfery</v>
      </c>
      <c r="Q41" s="120">
        <v>3</v>
      </c>
      <c r="R41" s="161" t="str">
        <f>+L41</f>
        <v>a - korfbal - bežné transfery</v>
      </c>
      <c r="S41" s="120">
        <v>4</v>
      </c>
      <c r="T41" s="161" t="str">
        <f>+L41</f>
        <v>a - korfbal - bežné transfery</v>
      </c>
      <c r="U41" s="120">
        <v>5</v>
      </c>
    </row>
    <row r="42" spans="1:21" ht="10.5" customHeight="1" x14ac:dyDescent="0.2">
      <c r="A42" s="115" t="s">
        <v>339</v>
      </c>
      <c r="B42" s="116" t="s">
        <v>376</v>
      </c>
      <c r="C42" s="73">
        <f>+C40</f>
        <v>7883.84</v>
      </c>
      <c r="D42" s="216">
        <f>+D40</f>
        <v>8331.5</v>
      </c>
      <c r="E42" s="216">
        <f>+E40</f>
        <v>10481</v>
      </c>
      <c r="F42" s="216">
        <f>+MIN(F39:F40)</f>
        <v>343.44</v>
      </c>
      <c r="G42" s="216">
        <f>+MIN(G39+MAX(F39-F40,0)-MAX(E40-E39,0)-MAX(D40-D39,0)-MAX(C40-C39,0),G40)</f>
        <v>2868.2200000000007</v>
      </c>
      <c r="H42" s="216">
        <f>+MIN(H39:H40)</f>
        <v>0</v>
      </c>
      <c r="I42" s="73">
        <f>+C42+D42+E42+MIN(F39:F40)+G42+H42</f>
        <v>29908</v>
      </c>
      <c r="J42" s="219">
        <f>+K47</f>
        <v>0</v>
      </c>
      <c r="K42" s="219">
        <f>+I42-H42</f>
        <v>29908</v>
      </c>
      <c r="L42" s="161" t="str">
        <f>+SUBSTITUTE(L41,"bežné","kapitálové")</f>
        <v>a - korfbal - kapitálové transfery</v>
      </c>
      <c r="M42" s="120">
        <v>1</v>
      </c>
      <c r="N42" s="161" t="str">
        <f>+L42</f>
        <v>a - korfbal - kapitálové transfery</v>
      </c>
      <c r="O42" s="120">
        <v>2</v>
      </c>
      <c r="P42" s="161" t="str">
        <f>+L42</f>
        <v>a - korfbal - kapitálové transfery</v>
      </c>
      <c r="Q42" s="120">
        <v>3</v>
      </c>
      <c r="R42" s="161" t="str">
        <f>+L42</f>
        <v>a - korfbal - kapitálové transfery</v>
      </c>
      <c r="S42" s="120">
        <v>4</v>
      </c>
      <c r="T42" s="161" t="str">
        <f>+L42</f>
        <v>a - korfbal - kapitálové transfery</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korfbal - bežné transfery</v>
      </c>
      <c r="C53" s="73">
        <f>IF(A53&lt;&gt;"",INDEX(FP!D:D,Doklady!B$2+(ROW()-53)),"")</f>
        <v>29908</v>
      </c>
      <c r="D53" s="73">
        <f>IF(A53&lt;&gt;"",Doklady!I1-Doklady!J1,"")</f>
        <v>29908.000000000011</v>
      </c>
      <c r="E53" s="73">
        <f>IF(A53&lt;&gt;"",MIN(D53,C53)*Doklady!C1/(1-Doklady!C1),"")</f>
        <v>0</v>
      </c>
      <c r="F53" s="71">
        <f>IF(A53&lt;&gt;"",Doklady!J1,"")</f>
        <v>0</v>
      </c>
      <c r="G53" s="73">
        <f>+IFERROR(HLOOKUP(IF(RIGHT(B53,15)="bežné transfery",LEFT(B53,LEN(B53)-18),0),$J$40:$K$42,3,0),MIN(C53,D53))</f>
        <v>29908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29908</v>
      </c>
      <c r="D130" s="228">
        <f t="shared" ref="D130:I130" si="9">SUM(D53:D129)</f>
        <v>29908.000000000011</v>
      </c>
      <c r="E130" s="228">
        <f t="shared" si="9"/>
        <v>0</v>
      </c>
      <c r="F130" s="228">
        <f t="shared" si="9"/>
        <v>0</v>
      </c>
      <c r="G130" s="228">
        <f t="shared" si="9"/>
        <v>29908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8" t="s">
        <v>496</v>
      </c>
      <c r="E140" s="378"/>
      <c r="F140" s="378"/>
      <c r="G140" s="378"/>
      <c r="H140" s="378"/>
      <c r="I140" s="378"/>
      <c r="J140" s="85"/>
    </row>
    <row r="141" spans="1:26" ht="68.25" customHeight="1" x14ac:dyDescent="0.25">
      <c r="A141" s="9"/>
      <c r="B141" s="281" t="s">
        <v>3168</v>
      </c>
      <c r="C141" s="214"/>
      <c r="D141" s="362" t="s">
        <v>393</v>
      </c>
      <c r="E141" s="362"/>
      <c r="F141" s="362"/>
      <c r="G141" s="362"/>
      <c r="H141" s="362"/>
      <c r="I141" s="36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45" sqref="A145"/>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a - korfbal - bežné transfery</v>
      </c>
      <c r="B1" s="232" t="str">
        <f>INDEX(Adr!A:A,B102+1)</f>
        <v>31940668</v>
      </c>
      <c r="C1" s="233">
        <f>IF(ROW()&lt;=B$3,INDEX(FP!E:E,B$2+ROW()-1),"")</f>
        <v>0</v>
      </c>
      <c r="D1" s="234" t="str">
        <f>IF(ROW()&lt;=B$3,INDEX(FP!F:F,B$2+ROW()-1),"")</f>
        <v>a</v>
      </c>
      <c r="E1" s="234"/>
      <c r="F1" s="234" t="str">
        <f>IF(ROW()&lt;=B$3,INDEX(FP!G:G,B$2+ROW()-1),"")</f>
        <v>026 02</v>
      </c>
      <c r="G1" s="234"/>
      <c r="H1" s="235" t="str">
        <f>IF(ROW()&lt;=B$3,INDEX(FP!C:C,B$2+ROW()-1),"")</f>
        <v>korfbal - bežné transfery</v>
      </c>
      <c r="I1" s="236">
        <f t="shared" ref="I1:I6" si="0">IF(ROW()&lt;=B$3,SUMIF(A$107:A$10042,A1,I$107:I$10042),"")</f>
        <v>29908.000000000011</v>
      </c>
      <c r="J1" s="236">
        <f t="shared" ref="J1:J32" si="1">IF(ROW()&lt;=B$3,SUMIFS(I$103:I$50042,A$103:A$50042,K1,J$103:J$50042,L1),"")</f>
        <v>0</v>
      </c>
      <c r="K1" s="110" t="str">
        <f>$A1</f>
        <v>a - korfbal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113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26" t="s">
        <v>329</v>
      </c>
      <c r="B100" s="326"/>
      <c r="C100" s="326"/>
      <c r="D100" s="326"/>
      <c r="E100" s="326"/>
      <c r="F100" s="326"/>
      <c r="G100" s="326"/>
      <c r="H100" s="326"/>
      <c r="I100" s="328" t="s">
        <v>2976</v>
      </c>
      <c r="J100" s="328"/>
      <c r="K100" s="89"/>
    </row>
    <row r="101" spans="1:25" ht="15.5" x14ac:dyDescent="0.35">
      <c r="A101" s="326"/>
      <c r="B101" s="326"/>
      <c r="C101" s="326"/>
      <c r="D101" s="326"/>
      <c r="E101" s="326"/>
      <c r="F101" s="326"/>
      <c r="G101" s="326"/>
      <c r="H101" s="326"/>
      <c r="I101" s="327">
        <v>46048</v>
      </c>
      <c r="J101" s="327"/>
    </row>
    <row r="102" spans="1:25" ht="14" x14ac:dyDescent="0.3">
      <c r="A102" s="249" t="s">
        <v>398</v>
      </c>
      <c r="B102" s="250">
        <v>92</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29" t="s">
        <v>407</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3026</v>
      </c>
      <c r="B107" s="14" t="s">
        <v>3158</v>
      </c>
      <c r="C107" s="14" t="s">
        <v>3030</v>
      </c>
      <c r="D107" s="16">
        <v>46040</v>
      </c>
      <c r="E107" s="16">
        <v>46041</v>
      </c>
      <c r="F107" s="14" t="s">
        <v>3031</v>
      </c>
      <c r="G107" s="14" t="s">
        <v>3032</v>
      </c>
      <c r="H107" s="14" t="s">
        <v>3033</v>
      </c>
      <c r="I107" s="15">
        <v>46.2</v>
      </c>
      <c r="J107" s="77">
        <v>4</v>
      </c>
      <c r="K107" s="92"/>
    </row>
    <row r="108" spans="1:25" ht="30" x14ac:dyDescent="0.25">
      <c r="A108" s="14" t="s">
        <v>3026</v>
      </c>
      <c r="B108" s="14" t="s">
        <v>3027</v>
      </c>
      <c r="C108" s="14" t="s">
        <v>3034</v>
      </c>
      <c r="D108" s="16">
        <v>46065</v>
      </c>
      <c r="E108" s="16"/>
      <c r="F108" s="14" t="s">
        <v>3042</v>
      </c>
      <c r="G108" s="14" t="s">
        <v>3035</v>
      </c>
      <c r="H108" s="14" t="s">
        <v>3036</v>
      </c>
      <c r="I108" s="15">
        <v>37</v>
      </c>
      <c r="J108" s="77">
        <v>4</v>
      </c>
      <c r="K108" s="92"/>
    </row>
    <row r="109" spans="1:25" ht="30" x14ac:dyDescent="0.25">
      <c r="A109" s="14" t="s">
        <v>3026</v>
      </c>
      <c r="B109" s="14" t="s">
        <v>3027</v>
      </c>
      <c r="C109" s="14" t="s">
        <v>3037</v>
      </c>
      <c r="D109" s="16">
        <v>46073</v>
      </c>
      <c r="E109" s="16"/>
      <c r="F109" s="14" t="s">
        <v>3139</v>
      </c>
      <c r="G109" s="14"/>
      <c r="H109" s="14" t="s">
        <v>3038</v>
      </c>
      <c r="I109" s="15">
        <v>1300</v>
      </c>
      <c r="J109" s="77">
        <v>3</v>
      </c>
      <c r="K109" s="92"/>
    </row>
    <row r="110" spans="1:25" ht="30" x14ac:dyDescent="0.25">
      <c r="A110" s="14" t="s">
        <v>3026</v>
      </c>
      <c r="B110" s="14" t="s">
        <v>3027</v>
      </c>
      <c r="C110" s="14" t="s">
        <v>3076</v>
      </c>
      <c r="D110" s="16">
        <v>46075</v>
      </c>
      <c r="E110" s="16">
        <v>46077</v>
      </c>
      <c r="F110" s="14" t="s">
        <v>3163</v>
      </c>
      <c r="G110" s="14" t="s">
        <v>3074</v>
      </c>
      <c r="H110" s="14" t="s">
        <v>3075</v>
      </c>
      <c r="I110" s="15">
        <v>210</v>
      </c>
      <c r="J110" s="77">
        <v>1</v>
      </c>
      <c r="K110" s="92"/>
    </row>
    <row r="111" spans="1:25" ht="30" x14ac:dyDescent="0.25">
      <c r="A111" s="14" t="s">
        <v>3026</v>
      </c>
      <c r="B111" s="14" t="s">
        <v>3027</v>
      </c>
      <c r="C111" s="14" t="s">
        <v>3073</v>
      </c>
      <c r="D111" s="16">
        <v>46064</v>
      </c>
      <c r="E111" s="16">
        <v>46077</v>
      </c>
      <c r="F111" s="14" t="s">
        <v>3164</v>
      </c>
      <c r="G111" s="14" t="s">
        <v>3072</v>
      </c>
      <c r="H111" s="14" t="s">
        <v>3071</v>
      </c>
      <c r="I111" s="15">
        <v>185</v>
      </c>
      <c r="J111" s="77">
        <v>1</v>
      </c>
      <c r="K111" s="92"/>
    </row>
    <row r="112" spans="1:25" ht="20" x14ac:dyDescent="0.25">
      <c r="A112" s="14" t="s">
        <v>3026</v>
      </c>
      <c r="B112" s="14" t="s">
        <v>3027</v>
      </c>
      <c r="C112" s="14" t="s">
        <v>3039</v>
      </c>
      <c r="D112" s="16">
        <v>46080</v>
      </c>
      <c r="E112" s="16"/>
      <c r="F112" s="14" t="s">
        <v>3040</v>
      </c>
      <c r="G112" s="14" t="s">
        <v>3041</v>
      </c>
      <c r="H112" s="14" t="s">
        <v>3043</v>
      </c>
      <c r="I112" s="15">
        <v>1112</v>
      </c>
      <c r="J112" s="77">
        <v>1</v>
      </c>
      <c r="K112" s="92"/>
    </row>
    <row r="113" spans="1:11" ht="30" x14ac:dyDescent="0.25">
      <c r="A113" s="14" t="s">
        <v>3026</v>
      </c>
      <c r="B113" s="14" t="s">
        <v>3159</v>
      </c>
      <c r="C113" s="14" t="s">
        <v>3045</v>
      </c>
      <c r="D113" s="16">
        <v>46071</v>
      </c>
      <c r="E113" s="16">
        <v>46080</v>
      </c>
      <c r="F113" s="14" t="s">
        <v>3044</v>
      </c>
      <c r="G113" s="14" t="s">
        <v>3032</v>
      </c>
      <c r="H113" s="14" t="s">
        <v>3033</v>
      </c>
      <c r="I113" s="15">
        <v>50.4</v>
      </c>
      <c r="J113" s="77">
        <v>4</v>
      </c>
      <c r="K113" s="92"/>
    </row>
    <row r="114" spans="1:11" ht="30" x14ac:dyDescent="0.25">
      <c r="A114" s="14" t="s">
        <v>3026</v>
      </c>
      <c r="B114" s="14" t="s">
        <v>3027</v>
      </c>
      <c r="C114" s="14" t="s">
        <v>3055</v>
      </c>
      <c r="D114" s="16">
        <v>46080</v>
      </c>
      <c r="E114" s="16"/>
      <c r="F114" s="14" t="s">
        <v>3054</v>
      </c>
      <c r="G114" s="14" t="s">
        <v>3056</v>
      </c>
      <c r="H114" s="14" t="s">
        <v>3057</v>
      </c>
      <c r="I114" s="15">
        <v>96.17</v>
      </c>
      <c r="J114" s="77">
        <v>1</v>
      </c>
      <c r="K114" s="92"/>
    </row>
    <row r="115" spans="1:11" ht="20" x14ac:dyDescent="0.25">
      <c r="A115" s="14" t="s">
        <v>3026</v>
      </c>
      <c r="B115" s="14" t="s">
        <v>3027</v>
      </c>
      <c r="C115" s="14" t="s">
        <v>3046</v>
      </c>
      <c r="D115" s="16">
        <v>46080</v>
      </c>
      <c r="E115" s="16"/>
      <c r="F115" s="14" t="s">
        <v>3084</v>
      </c>
      <c r="G115" s="14" t="s">
        <v>3047</v>
      </c>
      <c r="H115" s="14" t="s">
        <v>3048</v>
      </c>
      <c r="I115" s="15">
        <v>34.44</v>
      </c>
      <c r="J115" s="77">
        <v>4</v>
      </c>
      <c r="K115" s="92"/>
    </row>
    <row r="116" spans="1:11" ht="20" x14ac:dyDescent="0.25">
      <c r="A116" s="14" t="s">
        <v>3026</v>
      </c>
      <c r="B116" s="14" t="s">
        <v>3028</v>
      </c>
      <c r="C116" s="14" t="s">
        <v>3058</v>
      </c>
      <c r="D116" s="16">
        <v>46085</v>
      </c>
      <c r="E116" s="16"/>
      <c r="F116" s="14" t="s">
        <v>3053</v>
      </c>
      <c r="G116" s="14" t="s">
        <v>3059</v>
      </c>
      <c r="H116" s="14" t="s">
        <v>3060</v>
      </c>
      <c r="I116" s="15">
        <v>149</v>
      </c>
      <c r="J116" s="77">
        <v>5</v>
      </c>
      <c r="K116" s="92"/>
    </row>
    <row r="117" spans="1:11" ht="20" x14ac:dyDescent="0.25">
      <c r="A117" s="14" t="s">
        <v>3026</v>
      </c>
      <c r="B117" s="14" t="s">
        <v>3028</v>
      </c>
      <c r="C117" s="14" t="s">
        <v>3049</v>
      </c>
      <c r="D117" s="16">
        <v>46085</v>
      </c>
      <c r="E117" s="16"/>
      <c r="F117" s="14" t="s">
        <v>3050</v>
      </c>
      <c r="G117" s="14" t="s">
        <v>3051</v>
      </c>
      <c r="H117" s="14" t="s">
        <v>3052</v>
      </c>
      <c r="I117" s="15">
        <v>85.85</v>
      </c>
      <c r="J117" s="77">
        <v>5</v>
      </c>
      <c r="K117" s="92"/>
    </row>
    <row r="118" spans="1:11" ht="30" x14ac:dyDescent="0.25">
      <c r="A118" s="14" t="s">
        <v>3026</v>
      </c>
      <c r="B118" s="14" t="s">
        <v>3028</v>
      </c>
      <c r="C118" s="14" t="s">
        <v>3069</v>
      </c>
      <c r="D118" s="16">
        <v>45720</v>
      </c>
      <c r="E118" s="16"/>
      <c r="F118" s="14" t="s">
        <v>3165</v>
      </c>
      <c r="G118" s="14" t="s">
        <v>3147</v>
      </c>
      <c r="H118" s="14" t="s">
        <v>3070</v>
      </c>
      <c r="I118" s="15">
        <v>76.5</v>
      </c>
      <c r="J118" s="77">
        <v>1</v>
      </c>
      <c r="K118" s="92"/>
    </row>
    <row r="119" spans="1:11" ht="30" x14ac:dyDescent="0.25">
      <c r="A119" s="14" t="s">
        <v>3026</v>
      </c>
      <c r="B119" s="14" t="s">
        <v>3028</v>
      </c>
      <c r="C119" s="14" t="s">
        <v>3063</v>
      </c>
      <c r="D119" s="16">
        <v>45721</v>
      </c>
      <c r="E119" s="16"/>
      <c r="F119" s="14" t="s">
        <v>3116</v>
      </c>
      <c r="G119" s="14"/>
      <c r="H119" s="14" t="s">
        <v>3038</v>
      </c>
      <c r="I119" s="15">
        <v>2600</v>
      </c>
      <c r="J119" s="77">
        <v>3</v>
      </c>
      <c r="K119" s="92"/>
    </row>
    <row r="120" spans="1:11" ht="30" x14ac:dyDescent="0.25">
      <c r="A120" s="14" t="s">
        <v>3026</v>
      </c>
      <c r="B120" s="14" t="s">
        <v>3028</v>
      </c>
      <c r="C120" s="14" t="s">
        <v>153</v>
      </c>
      <c r="D120" s="16">
        <v>46087</v>
      </c>
      <c r="E120" s="16"/>
      <c r="F120" s="14" t="s">
        <v>3155</v>
      </c>
      <c r="G120" s="14"/>
      <c r="H120" s="14" t="s">
        <v>3077</v>
      </c>
      <c r="I120" s="15">
        <v>5575</v>
      </c>
      <c r="J120" s="77">
        <v>3</v>
      </c>
      <c r="K120" s="92"/>
    </row>
    <row r="121" spans="1:11" ht="30" x14ac:dyDescent="0.25">
      <c r="A121" s="14" t="s">
        <v>3026</v>
      </c>
      <c r="B121" s="14" t="s">
        <v>3028</v>
      </c>
      <c r="C121" s="14" t="s">
        <v>3086</v>
      </c>
      <c r="D121" s="16">
        <v>46087</v>
      </c>
      <c r="E121" s="16"/>
      <c r="F121" s="14" t="s">
        <v>3107</v>
      </c>
      <c r="G121" s="14" t="s">
        <v>3061</v>
      </c>
      <c r="H121" s="14" t="s">
        <v>3062</v>
      </c>
      <c r="I121" s="15">
        <v>240</v>
      </c>
      <c r="J121" s="77">
        <v>1</v>
      </c>
      <c r="K121" s="92"/>
    </row>
    <row r="122" spans="1:11" ht="30" x14ac:dyDescent="0.25">
      <c r="A122" s="14" t="s">
        <v>3026</v>
      </c>
      <c r="B122" s="14" t="s">
        <v>3028</v>
      </c>
      <c r="C122" s="14" t="s">
        <v>3087</v>
      </c>
      <c r="D122" s="16">
        <v>46090</v>
      </c>
      <c r="E122" s="16"/>
      <c r="F122" s="14" t="s">
        <v>3078</v>
      </c>
      <c r="G122" s="14" t="s">
        <v>3035</v>
      </c>
      <c r="H122" s="14" t="s">
        <v>3036</v>
      </c>
      <c r="I122" s="15">
        <v>37</v>
      </c>
      <c r="J122" s="77">
        <v>4</v>
      </c>
      <c r="K122" s="92"/>
    </row>
    <row r="123" spans="1:11" ht="30" x14ac:dyDescent="0.25">
      <c r="A123" s="14" t="s">
        <v>3026</v>
      </c>
      <c r="B123" s="14" t="s">
        <v>3028</v>
      </c>
      <c r="C123" s="14" t="s">
        <v>3083</v>
      </c>
      <c r="D123" s="16">
        <v>46091</v>
      </c>
      <c r="E123" s="16"/>
      <c r="F123" s="14" t="s">
        <v>3080</v>
      </c>
      <c r="G123" s="14" t="s">
        <v>3081</v>
      </c>
      <c r="H123" s="14" t="s">
        <v>3082</v>
      </c>
      <c r="I123" s="15">
        <v>1760.13</v>
      </c>
      <c r="J123" s="77">
        <v>1</v>
      </c>
      <c r="K123" s="92"/>
    </row>
    <row r="124" spans="1:11" ht="40" x14ac:dyDescent="0.25">
      <c r="A124" s="14" t="s">
        <v>3026</v>
      </c>
      <c r="B124" s="14" t="s">
        <v>3160</v>
      </c>
      <c r="C124" s="14" t="s">
        <v>3142</v>
      </c>
      <c r="D124" s="16">
        <v>46092</v>
      </c>
      <c r="E124" s="16">
        <v>46093</v>
      </c>
      <c r="F124" s="14" t="s">
        <v>3166</v>
      </c>
      <c r="G124" s="14" t="s">
        <v>3141</v>
      </c>
      <c r="H124" s="14" t="s">
        <v>3140</v>
      </c>
      <c r="I124" s="15">
        <v>238</v>
      </c>
      <c r="J124" s="77">
        <v>1</v>
      </c>
      <c r="K124" s="92"/>
    </row>
    <row r="125" spans="1:11" ht="20" x14ac:dyDescent="0.25">
      <c r="A125" s="14" t="s">
        <v>3026</v>
      </c>
      <c r="B125" s="14" t="s">
        <v>3028</v>
      </c>
      <c r="C125" s="14" t="s">
        <v>3088</v>
      </c>
      <c r="D125" s="16">
        <v>46101</v>
      </c>
      <c r="E125" s="16">
        <v>46094</v>
      </c>
      <c r="F125" s="14" t="s">
        <v>3090</v>
      </c>
      <c r="G125" s="14"/>
      <c r="H125" s="14" t="s">
        <v>3089</v>
      </c>
      <c r="I125" s="15">
        <v>358.15</v>
      </c>
      <c r="J125" s="77">
        <v>5</v>
      </c>
      <c r="K125" s="92"/>
    </row>
    <row r="126" spans="1:11" ht="30" x14ac:dyDescent="0.25">
      <c r="A126" s="14" t="s">
        <v>3026</v>
      </c>
      <c r="B126" s="14" t="s">
        <v>3028</v>
      </c>
      <c r="C126" s="14"/>
      <c r="D126" s="16">
        <v>46098</v>
      </c>
      <c r="E126" s="16"/>
      <c r="F126" s="14" t="s">
        <v>3065</v>
      </c>
      <c r="G126" s="14" t="s">
        <v>491</v>
      </c>
      <c r="H126" s="14" t="s">
        <v>3064</v>
      </c>
      <c r="I126" s="15">
        <v>1500</v>
      </c>
      <c r="J126" s="77">
        <v>2</v>
      </c>
      <c r="K126" s="92"/>
    </row>
    <row r="127" spans="1:11" ht="30" x14ac:dyDescent="0.25">
      <c r="A127" s="14" t="s">
        <v>3026</v>
      </c>
      <c r="B127" s="14" t="s">
        <v>3028</v>
      </c>
      <c r="C127" s="14"/>
      <c r="D127" s="16">
        <v>46098</v>
      </c>
      <c r="E127" s="16"/>
      <c r="F127" s="14" t="s">
        <v>3066</v>
      </c>
      <c r="G127" s="14" t="s">
        <v>491</v>
      </c>
      <c r="H127" s="14" t="s">
        <v>3064</v>
      </c>
      <c r="I127" s="15">
        <v>1500</v>
      </c>
      <c r="J127" s="77">
        <v>2</v>
      </c>
      <c r="K127" s="92"/>
    </row>
    <row r="128" spans="1:11" ht="30" x14ac:dyDescent="0.25">
      <c r="A128" s="14" t="s">
        <v>3026</v>
      </c>
      <c r="B128" s="14" t="s">
        <v>3028</v>
      </c>
      <c r="C128" s="14" t="s">
        <v>3085</v>
      </c>
      <c r="D128" s="16">
        <v>46100</v>
      </c>
      <c r="E128" s="16"/>
      <c r="F128" s="14" t="s">
        <v>3115</v>
      </c>
      <c r="G128" s="14" t="s">
        <v>3061</v>
      </c>
      <c r="H128" s="14" t="s">
        <v>3062</v>
      </c>
      <c r="I128" s="15">
        <v>240</v>
      </c>
      <c r="J128" s="77">
        <v>1</v>
      </c>
      <c r="K128" s="92"/>
    </row>
    <row r="129" spans="1:11" ht="30" x14ac:dyDescent="0.25">
      <c r="A129" s="14" t="s">
        <v>3026</v>
      </c>
      <c r="B129" s="14" t="s">
        <v>3028</v>
      </c>
      <c r="C129" s="14"/>
      <c r="D129" s="16" t="s">
        <v>3156</v>
      </c>
      <c r="E129" s="16">
        <v>46105</v>
      </c>
      <c r="F129" s="14" t="s">
        <v>3167</v>
      </c>
      <c r="G129" s="14" t="s">
        <v>3068</v>
      </c>
      <c r="H129" s="14" t="s">
        <v>3067</v>
      </c>
      <c r="I129" s="15">
        <v>4883.5</v>
      </c>
      <c r="J129" s="77">
        <v>2</v>
      </c>
      <c r="K129" s="92"/>
    </row>
    <row r="130" spans="1:11" ht="40" x14ac:dyDescent="0.25">
      <c r="A130" s="14" t="s">
        <v>3026</v>
      </c>
      <c r="B130" s="14" t="s">
        <v>3028</v>
      </c>
      <c r="C130" s="14" t="s">
        <v>3094</v>
      </c>
      <c r="D130" s="16">
        <v>46105</v>
      </c>
      <c r="E130" s="16"/>
      <c r="F130" s="14" t="s">
        <v>3091</v>
      </c>
      <c r="G130" s="14" t="s">
        <v>3092</v>
      </c>
      <c r="H130" s="14" t="s">
        <v>3093</v>
      </c>
      <c r="I130" s="15">
        <v>1159.99</v>
      </c>
      <c r="J130" s="77">
        <v>5</v>
      </c>
      <c r="K130" s="92"/>
    </row>
    <row r="131" spans="1:11" ht="20" x14ac:dyDescent="0.25">
      <c r="A131" s="14" t="s">
        <v>3026</v>
      </c>
      <c r="B131" s="14" t="s">
        <v>3028</v>
      </c>
      <c r="C131" s="14" t="s">
        <v>3101</v>
      </c>
      <c r="D131" s="16">
        <v>46108</v>
      </c>
      <c r="E131" s="16"/>
      <c r="F131" s="14" t="s">
        <v>3114</v>
      </c>
      <c r="G131" s="14" t="s">
        <v>3099</v>
      </c>
      <c r="H131" s="14" t="s">
        <v>3100</v>
      </c>
      <c r="I131" s="15">
        <v>317.39999999999998</v>
      </c>
      <c r="J131" s="77">
        <v>5</v>
      </c>
      <c r="K131" s="92"/>
    </row>
    <row r="132" spans="1:11" ht="20" x14ac:dyDescent="0.25">
      <c r="A132" s="14" t="s">
        <v>3026</v>
      </c>
      <c r="B132" s="14" t="s">
        <v>3028</v>
      </c>
      <c r="C132" s="14" t="s">
        <v>3098</v>
      </c>
      <c r="D132" s="16">
        <v>46108</v>
      </c>
      <c r="E132" s="16"/>
      <c r="F132" s="14" t="s">
        <v>3113</v>
      </c>
      <c r="G132" s="14" t="s">
        <v>3096</v>
      </c>
      <c r="H132" s="14" t="s">
        <v>3097</v>
      </c>
      <c r="I132" s="15">
        <v>35.979999999999997</v>
      </c>
      <c r="J132" s="77">
        <v>5</v>
      </c>
      <c r="K132" s="92"/>
    </row>
    <row r="133" spans="1:11" ht="30" x14ac:dyDescent="0.25">
      <c r="A133" s="14" t="s">
        <v>3026</v>
      </c>
      <c r="B133" s="14" t="s">
        <v>3028</v>
      </c>
      <c r="C133" s="14" t="s">
        <v>3095</v>
      </c>
      <c r="D133" s="16">
        <v>46108</v>
      </c>
      <c r="E133" s="16"/>
      <c r="F133" s="14" t="s">
        <v>3112</v>
      </c>
      <c r="G133" s="14" t="s">
        <v>3096</v>
      </c>
      <c r="H133" s="14" t="s">
        <v>3097</v>
      </c>
      <c r="I133" s="15">
        <v>369.63</v>
      </c>
      <c r="J133" s="77">
        <v>1</v>
      </c>
      <c r="K133" s="92"/>
    </row>
    <row r="134" spans="1:11" ht="20" x14ac:dyDescent="0.25">
      <c r="A134" s="14" t="s">
        <v>3026</v>
      </c>
      <c r="B134" s="14" t="s">
        <v>3028</v>
      </c>
      <c r="C134" s="14" t="s">
        <v>3146</v>
      </c>
      <c r="D134" s="16">
        <v>46112</v>
      </c>
      <c r="E134" s="16"/>
      <c r="F134" s="14" t="s">
        <v>3145</v>
      </c>
      <c r="G134" s="14" t="s">
        <v>3143</v>
      </c>
      <c r="H134" s="14" t="s">
        <v>3144</v>
      </c>
      <c r="I134" s="15">
        <v>126</v>
      </c>
      <c r="J134" s="77">
        <v>3</v>
      </c>
      <c r="K134" s="92"/>
    </row>
    <row r="135" spans="1:11" ht="30" x14ac:dyDescent="0.25">
      <c r="A135" s="14" t="s">
        <v>3026</v>
      </c>
      <c r="B135" s="14" t="s">
        <v>3028</v>
      </c>
      <c r="C135" s="14" t="s">
        <v>3104</v>
      </c>
      <c r="D135" s="16">
        <v>46111</v>
      </c>
      <c r="E135" s="16"/>
      <c r="F135" s="14" t="s">
        <v>3153</v>
      </c>
      <c r="G135" s="14" t="s">
        <v>3102</v>
      </c>
      <c r="H135" s="14" t="s">
        <v>3103</v>
      </c>
      <c r="I135" s="15">
        <v>448</v>
      </c>
      <c r="J135" s="77">
        <v>2</v>
      </c>
      <c r="K135" s="92"/>
    </row>
    <row r="136" spans="1:11" ht="40" x14ac:dyDescent="0.25">
      <c r="A136" s="14" t="s">
        <v>3026</v>
      </c>
      <c r="B136" s="14" t="s">
        <v>3028</v>
      </c>
      <c r="C136" s="14" t="s">
        <v>3110</v>
      </c>
      <c r="D136" s="16">
        <v>46088</v>
      </c>
      <c r="E136" s="16">
        <v>46111</v>
      </c>
      <c r="F136" s="14" t="s">
        <v>3106</v>
      </c>
      <c r="G136" s="14" t="s">
        <v>3109</v>
      </c>
      <c r="H136" s="14" t="s">
        <v>3108</v>
      </c>
      <c r="I136" s="15">
        <v>247.8</v>
      </c>
      <c r="J136" s="77">
        <v>5</v>
      </c>
      <c r="K136" s="92"/>
    </row>
    <row r="137" spans="1:11" ht="40" x14ac:dyDescent="0.25">
      <c r="A137" s="14" t="s">
        <v>3026</v>
      </c>
      <c r="B137" s="14" t="s">
        <v>3028</v>
      </c>
      <c r="C137" s="14" t="s">
        <v>3152</v>
      </c>
      <c r="D137" s="16">
        <v>46102</v>
      </c>
      <c r="E137" s="16">
        <v>46111</v>
      </c>
      <c r="F137" s="14" t="s">
        <v>3111</v>
      </c>
      <c r="G137" s="14" t="s">
        <v>3109</v>
      </c>
      <c r="H137" s="14" t="s">
        <v>3108</v>
      </c>
      <c r="I137" s="15">
        <v>324.39999999999998</v>
      </c>
      <c r="J137" s="77">
        <v>5</v>
      </c>
      <c r="K137" s="92"/>
    </row>
    <row r="138" spans="1:11" ht="30" x14ac:dyDescent="0.25">
      <c r="A138" s="14" t="s">
        <v>3026</v>
      </c>
      <c r="B138" s="14" t="s">
        <v>3028</v>
      </c>
      <c r="C138" s="14" t="s">
        <v>3138</v>
      </c>
      <c r="D138" s="16">
        <v>46111</v>
      </c>
      <c r="E138" s="16"/>
      <c r="F138" s="14" t="s">
        <v>3137</v>
      </c>
      <c r="G138" s="14" t="s">
        <v>3136</v>
      </c>
      <c r="H138" s="14" t="s">
        <v>3135</v>
      </c>
      <c r="I138" s="15">
        <v>880</v>
      </c>
      <c r="J138" s="77">
        <v>3</v>
      </c>
      <c r="K138" s="92"/>
    </row>
    <row r="139" spans="1:11" ht="50" x14ac:dyDescent="0.25">
      <c r="A139" s="14" t="s">
        <v>3026</v>
      </c>
      <c r="B139" s="14" t="s">
        <v>3028</v>
      </c>
      <c r="C139" s="14" t="s">
        <v>3117</v>
      </c>
      <c r="D139" s="16">
        <v>46111</v>
      </c>
      <c r="E139" s="16"/>
      <c r="F139" s="14" t="s">
        <v>3120</v>
      </c>
      <c r="G139" s="14" t="s">
        <v>3118</v>
      </c>
      <c r="H139" s="14" t="s">
        <v>3119</v>
      </c>
      <c r="I139" s="15">
        <v>138.4</v>
      </c>
      <c r="J139" s="77">
        <v>4</v>
      </c>
      <c r="K139" s="92"/>
    </row>
    <row r="140" spans="1:11" ht="20" x14ac:dyDescent="0.25">
      <c r="A140" s="14" t="s">
        <v>3026</v>
      </c>
      <c r="B140" s="14" t="s">
        <v>3028</v>
      </c>
      <c r="C140" s="14" t="s">
        <v>3150</v>
      </c>
      <c r="D140" s="16">
        <v>46112</v>
      </c>
      <c r="E140" s="16"/>
      <c r="F140" s="14" t="s">
        <v>3105</v>
      </c>
      <c r="G140" s="14" t="s">
        <v>3051</v>
      </c>
      <c r="H140" s="14" t="s">
        <v>3052</v>
      </c>
      <c r="I140" s="15">
        <v>85.85</v>
      </c>
      <c r="J140" s="77">
        <v>5</v>
      </c>
      <c r="K140" s="92"/>
    </row>
    <row r="141" spans="1:11" ht="30" x14ac:dyDescent="0.25">
      <c r="A141" s="14" t="s">
        <v>3026</v>
      </c>
      <c r="B141" s="14" t="s">
        <v>3161</v>
      </c>
      <c r="C141" s="14" t="s">
        <v>3149</v>
      </c>
      <c r="D141" s="16">
        <v>46090</v>
      </c>
      <c r="E141" s="16"/>
      <c r="F141" s="14" t="s">
        <v>3079</v>
      </c>
      <c r="G141" s="14" t="s">
        <v>3032</v>
      </c>
      <c r="H141" s="14" t="s">
        <v>3033</v>
      </c>
      <c r="I141" s="15">
        <v>55.5</v>
      </c>
      <c r="J141" s="77">
        <v>5</v>
      </c>
      <c r="K141" s="92"/>
    </row>
    <row r="142" spans="1:11" ht="20" x14ac:dyDescent="0.25">
      <c r="A142" s="14" t="s">
        <v>3026</v>
      </c>
      <c r="B142" s="14" t="s">
        <v>3162</v>
      </c>
      <c r="C142" s="14" t="s">
        <v>3148</v>
      </c>
      <c r="D142" s="16">
        <v>46090</v>
      </c>
      <c r="E142" s="16"/>
      <c r="F142" s="14" t="s">
        <v>3157</v>
      </c>
      <c r="G142" s="14"/>
      <c r="H142" s="14" t="s">
        <v>3154</v>
      </c>
      <c r="I142" s="15">
        <v>3196.41</v>
      </c>
      <c r="J142" s="77">
        <v>1</v>
      </c>
      <c r="K142" s="92"/>
    </row>
    <row r="143" spans="1:11" ht="20" x14ac:dyDescent="0.25">
      <c r="A143" s="14" t="s">
        <v>3026</v>
      </c>
      <c r="B143" s="14" t="s">
        <v>3029</v>
      </c>
      <c r="C143" s="14" t="s">
        <v>3151</v>
      </c>
      <c r="D143" s="16">
        <v>45766</v>
      </c>
      <c r="E143" s="16">
        <v>45764</v>
      </c>
      <c r="F143" s="14" t="s">
        <v>3134</v>
      </c>
      <c r="G143" s="14" t="s">
        <v>3132</v>
      </c>
      <c r="H143" s="14" t="s">
        <v>3133</v>
      </c>
      <c r="I143" s="15">
        <v>160</v>
      </c>
      <c r="J143" s="77">
        <v>1</v>
      </c>
      <c r="K143" s="92"/>
    </row>
    <row r="144" spans="1:11" ht="30" x14ac:dyDescent="0.25">
      <c r="A144" s="14" t="s">
        <v>3026</v>
      </c>
      <c r="B144" s="14" t="s">
        <v>3121</v>
      </c>
      <c r="C144" s="14"/>
      <c r="D144" s="16">
        <v>45869</v>
      </c>
      <c r="E144" s="16"/>
      <c r="F144" s="14" t="s">
        <v>3126</v>
      </c>
      <c r="G144" s="14" t="s">
        <v>3123</v>
      </c>
      <c r="H144" s="14" t="s">
        <v>3122</v>
      </c>
      <c r="I144" s="15">
        <v>6.9</v>
      </c>
      <c r="J144" s="77">
        <v>5</v>
      </c>
      <c r="K144" s="92"/>
    </row>
    <row r="145" spans="1:11" ht="30" x14ac:dyDescent="0.25">
      <c r="A145" s="14" t="s">
        <v>3026</v>
      </c>
      <c r="B145" s="14" t="s">
        <v>3124</v>
      </c>
      <c r="C145" s="14"/>
      <c r="D145" s="16">
        <v>45899</v>
      </c>
      <c r="E145" s="16"/>
      <c r="F145" s="14" t="s">
        <v>3125</v>
      </c>
      <c r="G145" s="14" t="s">
        <v>3123</v>
      </c>
      <c r="H145" s="14" t="s">
        <v>3122</v>
      </c>
      <c r="I145" s="15">
        <v>6.9</v>
      </c>
      <c r="J145" s="77">
        <v>5</v>
      </c>
      <c r="K145" s="92"/>
    </row>
    <row r="146" spans="1:11" ht="30" x14ac:dyDescent="0.25">
      <c r="A146" s="14" t="s">
        <v>3026</v>
      </c>
      <c r="B146" s="14" t="s">
        <v>3127</v>
      </c>
      <c r="C146" s="14"/>
      <c r="D146" s="16">
        <v>45930</v>
      </c>
      <c r="E146" s="16"/>
      <c r="F146" s="14" t="s">
        <v>3125</v>
      </c>
      <c r="G146" s="14" t="s">
        <v>3123</v>
      </c>
      <c r="H146" s="14" t="s">
        <v>3122</v>
      </c>
      <c r="I146" s="15">
        <v>6.9</v>
      </c>
      <c r="J146" s="77">
        <v>5</v>
      </c>
      <c r="K146" s="92"/>
    </row>
    <row r="147" spans="1:11" ht="30" x14ac:dyDescent="0.25">
      <c r="A147" s="14" t="s">
        <v>3026</v>
      </c>
      <c r="B147" s="14" t="s">
        <v>3128</v>
      </c>
      <c r="C147" s="14"/>
      <c r="D147" s="16">
        <v>45961</v>
      </c>
      <c r="E147" s="16"/>
      <c r="F147" s="14" t="s">
        <v>3125</v>
      </c>
      <c r="G147" s="14" t="s">
        <v>3123</v>
      </c>
      <c r="H147" s="14" t="s">
        <v>3122</v>
      </c>
      <c r="I147" s="15">
        <v>6.9</v>
      </c>
      <c r="J147" s="77">
        <v>5</v>
      </c>
      <c r="K147" s="92"/>
    </row>
    <row r="148" spans="1:11" ht="30" x14ac:dyDescent="0.25">
      <c r="A148" s="14" t="s">
        <v>3026</v>
      </c>
      <c r="B148" s="14" t="s">
        <v>3129</v>
      </c>
      <c r="C148" s="14"/>
      <c r="D148" s="16">
        <v>45991</v>
      </c>
      <c r="E148" s="16"/>
      <c r="F148" s="14" t="s">
        <v>3125</v>
      </c>
      <c r="G148" s="14" t="s">
        <v>3123</v>
      </c>
      <c r="H148" s="14" t="s">
        <v>3122</v>
      </c>
      <c r="I148" s="15">
        <v>6.9</v>
      </c>
      <c r="J148" s="77">
        <v>5</v>
      </c>
      <c r="K148" s="92"/>
    </row>
    <row r="149" spans="1:11" ht="30" x14ac:dyDescent="0.25">
      <c r="A149" s="14" t="s">
        <v>3026</v>
      </c>
      <c r="B149" s="14" t="s">
        <v>3130</v>
      </c>
      <c r="C149" s="14"/>
      <c r="D149" s="16">
        <v>46022</v>
      </c>
      <c r="E149" s="16"/>
      <c r="F149" s="14" t="s">
        <v>3125</v>
      </c>
      <c r="G149" s="14" t="s">
        <v>3123</v>
      </c>
      <c r="H149" s="14" t="s">
        <v>3122</v>
      </c>
      <c r="I149" s="15">
        <v>6.9</v>
      </c>
      <c r="J149" s="77">
        <v>5</v>
      </c>
      <c r="K149" s="92"/>
    </row>
    <row r="150" spans="1:11" ht="30" x14ac:dyDescent="0.25">
      <c r="A150" s="14" t="s">
        <v>3026</v>
      </c>
      <c r="B150" s="14" t="s">
        <v>3131</v>
      </c>
      <c r="C150" s="14"/>
      <c r="D150" s="16">
        <v>46053</v>
      </c>
      <c r="E150" s="16"/>
      <c r="F150" s="14" t="s">
        <v>3125</v>
      </c>
      <c r="G150" s="14" t="s">
        <v>3123</v>
      </c>
      <c r="H150" s="14" t="s">
        <v>3122</v>
      </c>
      <c r="I150" s="15">
        <v>6.9</v>
      </c>
      <c r="J150" s="77">
        <v>5</v>
      </c>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10" fitToWidth="0"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453125" style="180" bestFit="1" customWidth="1"/>
    <col min="258" max="258" width="46.1796875" style="180" bestFit="1" customWidth="1"/>
    <col min="259" max="259" width="15.453125" style="180" bestFit="1" customWidth="1"/>
    <col min="260" max="260" width="20.453125" style="180" customWidth="1"/>
    <col min="261" max="261" width="21" style="180" bestFit="1" customWidth="1"/>
    <col min="262" max="262" width="6.1796875" style="180" bestFit="1" customWidth="1"/>
    <col min="263" max="263" width="22.81640625" style="180" customWidth="1"/>
    <col min="264" max="264" width="23.45312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453125" style="180" bestFit="1" customWidth="1"/>
    <col min="514" max="514" width="46.1796875" style="180" bestFit="1" customWidth="1"/>
    <col min="515" max="515" width="15.453125" style="180" bestFit="1" customWidth="1"/>
    <col min="516" max="516" width="20.453125" style="180" customWidth="1"/>
    <col min="517" max="517" width="21" style="180" bestFit="1" customWidth="1"/>
    <col min="518" max="518" width="6.1796875" style="180" bestFit="1" customWidth="1"/>
    <col min="519" max="519" width="22.81640625" style="180" customWidth="1"/>
    <col min="520" max="520" width="23.45312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453125" style="180" bestFit="1" customWidth="1"/>
    <col min="770" max="770" width="46.1796875" style="180" bestFit="1" customWidth="1"/>
    <col min="771" max="771" width="15.453125" style="180" bestFit="1" customWidth="1"/>
    <col min="772" max="772" width="20.453125" style="180" customWidth="1"/>
    <col min="773" max="773" width="21" style="180" bestFit="1" customWidth="1"/>
    <col min="774" max="774" width="6.1796875" style="180" bestFit="1" customWidth="1"/>
    <col min="775" max="775" width="22.81640625" style="180" customWidth="1"/>
    <col min="776" max="776" width="23.45312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453125" style="180" bestFit="1" customWidth="1"/>
    <col min="1026" max="1026" width="46.1796875" style="180" bestFit="1" customWidth="1"/>
    <col min="1027" max="1027" width="15.453125" style="180" bestFit="1" customWidth="1"/>
    <col min="1028" max="1028" width="20.453125" style="180" customWidth="1"/>
    <col min="1029" max="1029" width="21" style="180" bestFit="1" customWidth="1"/>
    <col min="1030" max="1030" width="6.1796875" style="180" bestFit="1" customWidth="1"/>
    <col min="1031" max="1031" width="22.81640625" style="180" customWidth="1"/>
    <col min="1032" max="1032" width="23.45312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453125" style="180" bestFit="1" customWidth="1"/>
    <col min="1282" max="1282" width="46.1796875" style="180" bestFit="1" customWidth="1"/>
    <col min="1283" max="1283" width="15.453125" style="180" bestFit="1" customWidth="1"/>
    <col min="1284" max="1284" width="20.453125" style="180" customWidth="1"/>
    <col min="1285" max="1285" width="21" style="180" bestFit="1" customWidth="1"/>
    <col min="1286" max="1286" width="6.1796875" style="180" bestFit="1" customWidth="1"/>
    <col min="1287" max="1287" width="22.81640625" style="180" customWidth="1"/>
    <col min="1288" max="1288" width="23.45312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453125" style="180" bestFit="1" customWidth="1"/>
    <col min="1538" max="1538" width="46.1796875" style="180" bestFit="1" customWidth="1"/>
    <col min="1539" max="1539" width="15.453125" style="180" bestFit="1" customWidth="1"/>
    <col min="1540" max="1540" width="20.453125" style="180" customWidth="1"/>
    <col min="1541" max="1541" width="21" style="180" bestFit="1" customWidth="1"/>
    <col min="1542" max="1542" width="6.1796875" style="180" bestFit="1" customWidth="1"/>
    <col min="1543" max="1543" width="22.81640625" style="180" customWidth="1"/>
    <col min="1544" max="1544" width="23.45312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453125" style="180" bestFit="1" customWidth="1"/>
    <col min="1794" max="1794" width="46.1796875" style="180" bestFit="1" customWidth="1"/>
    <col min="1795" max="1795" width="15.453125" style="180" bestFit="1" customWidth="1"/>
    <col min="1796" max="1796" width="20.453125" style="180" customWidth="1"/>
    <col min="1797" max="1797" width="21" style="180" bestFit="1" customWidth="1"/>
    <col min="1798" max="1798" width="6.1796875" style="180" bestFit="1" customWidth="1"/>
    <col min="1799" max="1799" width="22.81640625" style="180" customWidth="1"/>
    <col min="1800" max="1800" width="23.45312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453125" style="180" bestFit="1" customWidth="1"/>
    <col min="2050" max="2050" width="46.1796875" style="180" bestFit="1" customWidth="1"/>
    <col min="2051" max="2051" width="15.453125" style="180" bestFit="1" customWidth="1"/>
    <col min="2052" max="2052" width="20.453125" style="180" customWidth="1"/>
    <col min="2053" max="2053" width="21" style="180" bestFit="1" customWidth="1"/>
    <col min="2054" max="2054" width="6.1796875" style="180" bestFit="1" customWidth="1"/>
    <col min="2055" max="2055" width="22.81640625" style="180" customWidth="1"/>
    <col min="2056" max="2056" width="23.45312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453125" style="180" bestFit="1" customWidth="1"/>
    <col min="2306" max="2306" width="46.1796875" style="180" bestFit="1" customWidth="1"/>
    <col min="2307" max="2307" width="15.453125" style="180" bestFit="1" customWidth="1"/>
    <col min="2308" max="2308" width="20.453125" style="180" customWidth="1"/>
    <col min="2309" max="2309" width="21" style="180" bestFit="1" customWidth="1"/>
    <col min="2310" max="2310" width="6.1796875" style="180" bestFit="1" customWidth="1"/>
    <col min="2311" max="2311" width="22.81640625" style="180" customWidth="1"/>
    <col min="2312" max="2312" width="23.45312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453125" style="180" bestFit="1" customWidth="1"/>
    <col min="2562" max="2562" width="46.1796875" style="180" bestFit="1" customWidth="1"/>
    <col min="2563" max="2563" width="15.453125" style="180" bestFit="1" customWidth="1"/>
    <col min="2564" max="2564" width="20.453125" style="180" customWidth="1"/>
    <col min="2565" max="2565" width="21" style="180" bestFit="1" customWidth="1"/>
    <col min="2566" max="2566" width="6.1796875" style="180" bestFit="1" customWidth="1"/>
    <col min="2567" max="2567" width="22.81640625" style="180" customWidth="1"/>
    <col min="2568" max="2568" width="23.45312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453125" style="180" bestFit="1" customWidth="1"/>
    <col min="2818" max="2818" width="46.1796875" style="180" bestFit="1" customWidth="1"/>
    <col min="2819" max="2819" width="15.453125" style="180" bestFit="1" customWidth="1"/>
    <col min="2820" max="2820" width="20.453125" style="180" customWidth="1"/>
    <col min="2821" max="2821" width="21" style="180" bestFit="1" customWidth="1"/>
    <col min="2822" max="2822" width="6.1796875" style="180" bestFit="1" customWidth="1"/>
    <col min="2823" max="2823" width="22.81640625" style="180" customWidth="1"/>
    <col min="2824" max="2824" width="23.45312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453125" style="180" bestFit="1" customWidth="1"/>
    <col min="3074" max="3074" width="46.1796875" style="180" bestFit="1" customWidth="1"/>
    <col min="3075" max="3075" width="15.453125" style="180" bestFit="1" customWidth="1"/>
    <col min="3076" max="3076" width="20.453125" style="180" customWidth="1"/>
    <col min="3077" max="3077" width="21" style="180" bestFit="1" customWidth="1"/>
    <col min="3078" max="3078" width="6.1796875" style="180" bestFit="1" customWidth="1"/>
    <col min="3079" max="3079" width="22.81640625" style="180" customWidth="1"/>
    <col min="3080" max="3080" width="23.45312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453125" style="180" bestFit="1" customWidth="1"/>
    <col min="3330" max="3330" width="46.1796875" style="180" bestFit="1" customWidth="1"/>
    <col min="3331" max="3331" width="15.453125" style="180" bestFit="1" customWidth="1"/>
    <col min="3332" max="3332" width="20.453125" style="180" customWidth="1"/>
    <col min="3333" max="3333" width="21" style="180" bestFit="1" customWidth="1"/>
    <col min="3334" max="3334" width="6.1796875" style="180" bestFit="1" customWidth="1"/>
    <col min="3335" max="3335" width="22.81640625" style="180" customWidth="1"/>
    <col min="3336" max="3336" width="23.45312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453125" style="180" bestFit="1" customWidth="1"/>
    <col min="3586" max="3586" width="46.1796875" style="180" bestFit="1" customWidth="1"/>
    <col min="3587" max="3587" width="15.453125" style="180" bestFit="1" customWidth="1"/>
    <col min="3588" max="3588" width="20.453125" style="180" customWidth="1"/>
    <col min="3589" max="3589" width="21" style="180" bestFit="1" customWidth="1"/>
    <col min="3590" max="3590" width="6.1796875" style="180" bestFit="1" customWidth="1"/>
    <col min="3591" max="3591" width="22.81640625" style="180" customWidth="1"/>
    <col min="3592" max="3592" width="23.45312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453125" style="180" bestFit="1" customWidth="1"/>
    <col min="3842" max="3842" width="46.1796875" style="180" bestFit="1" customWidth="1"/>
    <col min="3843" max="3843" width="15.453125" style="180" bestFit="1" customWidth="1"/>
    <col min="3844" max="3844" width="20.453125" style="180" customWidth="1"/>
    <col min="3845" max="3845" width="21" style="180" bestFit="1" customWidth="1"/>
    <col min="3846" max="3846" width="6.1796875" style="180" bestFit="1" customWidth="1"/>
    <col min="3847" max="3847" width="22.81640625" style="180" customWidth="1"/>
    <col min="3848" max="3848" width="23.45312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453125" style="180" bestFit="1" customWidth="1"/>
    <col min="4098" max="4098" width="46.1796875" style="180" bestFit="1" customWidth="1"/>
    <col min="4099" max="4099" width="15.453125" style="180" bestFit="1" customWidth="1"/>
    <col min="4100" max="4100" width="20.453125" style="180" customWidth="1"/>
    <col min="4101" max="4101" width="21" style="180" bestFit="1" customWidth="1"/>
    <col min="4102" max="4102" width="6.1796875" style="180" bestFit="1" customWidth="1"/>
    <col min="4103" max="4103" width="22.81640625" style="180" customWidth="1"/>
    <col min="4104" max="4104" width="23.45312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453125" style="180" bestFit="1" customWidth="1"/>
    <col min="4354" max="4354" width="46.1796875" style="180" bestFit="1" customWidth="1"/>
    <col min="4355" max="4355" width="15.453125" style="180" bestFit="1" customWidth="1"/>
    <col min="4356" max="4356" width="20.453125" style="180" customWidth="1"/>
    <col min="4357" max="4357" width="21" style="180" bestFit="1" customWidth="1"/>
    <col min="4358" max="4358" width="6.1796875" style="180" bestFit="1" customWidth="1"/>
    <col min="4359" max="4359" width="22.81640625" style="180" customWidth="1"/>
    <col min="4360" max="4360" width="23.45312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453125" style="180" bestFit="1" customWidth="1"/>
    <col min="4610" max="4610" width="46.1796875" style="180" bestFit="1" customWidth="1"/>
    <col min="4611" max="4611" width="15.453125" style="180" bestFit="1" customWidth="1"/>
    <col min="4612" max="4612" width="20.453125" style="180" customWidth="1"/>
    <col min="4613" max="4613" width="21" style="180" bestFit="1" customWidth="1"/>
    <col min="4614" max="4614" width="6.1796875" style="180" bestFit="1" customWidth="1"/>
    <col min="4615" max="4615" width="22.81640625" style="180" customWidth="1"/>
    <col min="4616" max="4616" width="23.45312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453125" style="180" bestFit="1" customWidth="1"/>
    <col min="4866" max="4866" width="46.1796875" style="180" bestFit="1" customWidth="1"/>
    <col min="4867" max="4867" width="15.453125" style="180" bestFit="1" customWidth="1"/>
    <col min="4868" max="4868" width="20.453125" style="180" customWidth="1"/>
    <col min="4869" max="4869" width="21" style="180" bestFit="1" customWidth="1"/>
    <col min="4870" max="4870" width="6.1796875" style="180" bestFit="1" customWidth="1"/>
    <col min="4871" max="4871" width="22.81640625" style="180" customWidth="1"/>
    <col min="4872" max="4872" width="23.45312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453125" style="180" bestFit="1" customWidth="1"/>
    <col min="5122" max="5122" width="46.1796875" style="180" bestFit="1" customWidth="1"/>
    <col min="5123" max="5123" width="15.453125" style="180" bestFit="1" customWidth="1"/>
    <col min="5124" max="5124" width="20.453125" style="180" customWidth="1"/>
    <col min="5125" max="5125" width="21" style="180" bestFit="1" customWidth="1"/>
    <col min="5126" max="5126" width="6.1796875" style="180" bestFit="1" customWidth="1"/>
    <col min="5127" max="5127" width="22.81640625" style="180" customWidth="1"/>
    <col min="5128" max="5128" width="23.45312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453125" style="180" bestFit="1" customWidth="1"/>
    <col min="5378" max="5378" width="46.1796875" style="180" bestFit="1" customWidth="1"/>
    <col min="5379" max="5379" width="15.453125" style="180" bestFit="1" customWidth="1"/>
    <col min="5380" max="5380" width="20.453125" style="180" customWidth="1"/>
    <col min="5381" max="5381" width="21" style="180" bestFit="1" customWidth="1"/>
    <col min="5382" max="5382" width="6.1796875" style="180" bestFit="1" customWidth="1"/>
    <col min="5383" max="5383" width="22.81640625" style="180" customWidth="1"/>
    <col min="5384" max="5384" width="23.45312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453125" style="180" bestFit="1" customWidth="1"/>
    <col min="5634" max="5634" width="46.1796875" style="180" bestFit="1" customWidth="1"/>
    <col min="5635" max="5635" width="15.453125" style="180" bestFit="1" customWidth="1"/>
    <col min="5636" max="5636" width="20.453125" style="180" customWidth="1"/>
    <col min="5637" max="5637" width="21" style="180" bestFit="1" customWidth="1"/>
    <col min="5638" max="5638" width="6.1796875" style="180" bestFit="1" customWidth="1"/>
    <col min="5639" max="5639" width="22.81640625" style="180" customWidth="1"/>
    <col min="5640" max="5640" width="23.45312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453125" style="180" bestFit="1" customWidth="1"/>
    <col min="5890" max="5890" width="46.1796875" style="180" bestFit="1" customWidth="1"/>
    <col min="5891" max="5891" width="15.453125" style="180" bestFit="1" customWidth="1"/>
    <col min="5892" max="5892" width="20.453125" style="180" customWidth="1"/>
    <col min="5893" max="5893" width="21" style="180" bestFit="1" customWidth="1"/>
    <col min="5894" max="5894" width="6.1796875" style="180" bestFit="1" customWidth="1"/>
    <col min="5895" max="5895" width="22.81640625" style="180" customWidth="1"/>
    <col min="5896" max="5896" width="23.45312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453125" style="180" bestFit="1" customWidth="1"/>
    <col min="6146" max="6146" width="46.1796875" style="180" bestFit="1" customWidth="1"/>
    <col min="6147" max="6147" width="15.453125" style="180" bestFit="1" customWidth="1"/>
    <col min="6148" max="6148" width="20.453125" style="180" customWidth="1"/>
    <col min="6149" max="6149" width="21" style="180" bestFit="1" customWidth="1"/>
    <col min="6150" max="6150" width="6.1796875" style="180" bestFit="1" customWidth="1"/>
    <col min="6151" max="6151" width="22.81640625" style="180" customWidth="1"/>
    <col min="6152" max="6152" width="23.45312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453125" style="180" bestFit="1" customWidth="1"/>
    <col min="6402" max="6402" width="46.1796875" style="180" bestFit="1" customWidth="1"/>
    <col min="6403" max="6403" width="15.453125" style="180" bestFit="1" customWidth="1"/>
    <col min="6404" max="6404" width="20.453125" style="180" customWidth="1"/>
    <col min="6405" max="6405" width="21" style="180" bestFit="1" customWidth="1"/>
    <col min="6406" max="6406" width="6.1796875" style="180" bestFit="1" customWidth="1"/>
    <col min="6407" max="6407" width="22.81640625" style="180" customWidth="1"/>
    <col min="6408" max="6408" width="23.45312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453125" style="180" bestFit="1" customWidth="1"/>
    <col min="6658" max="6658" width="46.1796875" style="180" bestFit="1" customWidth="1"/>
    <col min="6659" max="6659" width="15.453125" style="180" bestFit="1" customWidth="1"/>
    <col min="6660" max="6660" width="20.453125" style="180" customWidth="1"/>
    <col min="6661" max="6661" width="21" style="180" bestFit="1" customWidth="1"/>
    <col min="6662" max="6662" width="6.1796875" style="180" bestFit="1" customWidth="1"/>
    <col min="6663" max="6663" width="22.81640625" style="180" customWidth="1"/>
    <col min="6664" max="6664" width="23.45312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453125" style="180" bestFit="1" customWidth="1"/>
    <col min="6914" max="6914" width="46.1796875" style="180" bestFit="1" customWidth="1"/>
    <col min="6915" max="6915" width="15.453125" style="180" bestFit="1" customWidth="1"/>
    <col min="6916" max="6916" width="20.453125" style="180" customWidth="1"/>
    <col min="6917" max="6917" width="21" style="180" bestFit="1" customWidth="1"/>
    <col min="6918" max="6918" width="6.1796875" style="180" bestFit="1" customWidth="1"/>
    <col min="6919" max="6919" width="22.81640625" style="180" customWidth="1"/>
    <col min="6920" max="6920" width="23.45312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453125" style="180" bestFit="1" customWidth="1"/>
    <col min="7170" max="7170" width="46.1796875" style="180" bestFit="1" customWidth="1"/>
    <col min="7171" max="7171" width="15.453125" style="180" bestFit="1" customWidth="1"/>
    <col min="7172" max="7172" width="20.453125" style="180" customWidth="1"/>
    <col min="7173" max="7173" width="21" style="180" bestFit="1" customWidth="1"/>
    <col min="7174" max="7174" width="6.1796875" style="180" bestFit="1" customWidth="1"/>
    <col min="7175" max="7175" width="22.81640625" style="180" customWidth="1"/>
    <col min="7176" max="7176" width="23.45312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453125" style="180" bestFit="1" customWidth="1"/>
    <col min="7426" max="7426" width="46.1796875" style="180" bestFit="1" customWidth="1"/>
    <col min="7427" max="7427" width="15.453125" style="180" bestFit="1" customWidth="1"/>
    <col min="7428" max="7428" width="20.453125" style="180" customWidth="1"/>
    <col min="7429" max="7429" width="21" style="180" bestFit="1" customWidth="1"/>
    <col min="7430" max="7430" width="6.1796875" style="180" bestFit="1" customWidth="1"/>
    <col min="7431" max="7431" width="22.81640625" style="180" customWidth="1"/>
    <col min="7432" max="7432" width="23.45312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453125" style="180" bestFit="1" customWidth="1"/>
    <col min="7682" max="7682" width="46.1796875" style="180" bestFit="1" customWidth="1"/>
    <col min="7683" max="7683" width="15.453125" style="180" bestFit="1" customWidth="1"/>
    <col min="7684" max="7684" width="20.453125" style="180" customWidth="1"/>
    <col min="7685" max="7685" width="21" style="180" bestFit="1" customWidth="1"/>
    <col min="7686" max="7686" width="6.1796875" style="180" bestFit="1" customWidth="1"/>
    <col min="7687" max="7687" width="22.81640625" style="180" customWidth="1"/>
    <col min="7688" max="7688" width="23.45312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453125" style="180" bestFit="1" customWidth="1"/>
    <col min="7938" max="7938" width="46.1796875" style="180" bestFit="1" customWidth="1"/>
    <col min="7939" max="7939" width="15.453125" style="180" bestFit="1" customWidth="1"/>
    <col min="7940" max="7940" width="20.453125" style="180" customWidth="1"/>
    <col min="7941" max="7941" width="21" style="180" bestFit="1" customWidth="1"/>
    <col min="7942" max="7942" width="6.1796875" style="180" bestFit="1" customWidth="1"/>
    <col min="7943" max="7943" width="22.81640625" style="180" customWidth="1"/>
    <col min="7944" max="7944" width="23.45312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453125" style="180" bestFit="1" customWidth="1"/>
    <col min="8194" max="8194" width="46.1796875" style="180" bestFit="1" customWidth="1"/>
    <col min="8195" max="8195" width="15.453125" style="180" bestFit="1" customWidth="1"/>
    <col min="8196" max="8196" width="20.453125" style="180" customWidth="1"/>
    <col min="8197" max="8197" width="21" style="180" bestFit="1" customWidth="1"/>
    <col min="8198" max="8198" width="6.1796875" style="180" bestFit="1" customWidth="1"/>
    <col min="8199" max="8199" width="22.81640625" style="180" customWidth="1"/>
    <col min="8200" max="8200" width="23.45312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453125" style="180" bestFit="1" customWidth="1"/>
    <col min="8450" max="8450" width="46.1796875" style="180" bestFit="1" customWidth="1"/>
    <col min="8451" max="8451" width="15.453125" style="180" bestFit="1" customWidth="1"/>
    <col min="8452" max="8452" width="20.453125" style="180" customWidth="1"/>
    <col min="8453" max="8453" width="21" style="180" bestFit="1" customWidth="1"/>
    <col min="8454" max="8454" width="6.1796875" style="180" bestFit="1" customWidth="1"/>
    <col min="8455" max="8455" width="22.81640625" style="180" customWidth="1"/>
    <col min="8456" max="8456" width="23.45312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453125" style="180" bestFit="1" customWidth="1"/>
    <col min="8706" max="8706" width="46.1796875" style="180" bestFit="1" customWidth="1"/>
    <col min="8707" max="8707" width="15.453125" style="180" bestFit="1" customWidth="1"/>
    <col min="8708" max="8708" width="20.453125" style="180" customWidth="1"/>
    <col min="8709" max="8709" width="21" style="180" bestFit="1" customWidth="1"/>
    <col min="8710" max="8710" width="6.1796875" style="180" bestFit="1" customWidth="1"/>
    <col min="8711" max="8711" width="22.81640625" style="180" customWidth="1"/>
    <col min="8712" max="8712" width="23.45312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453125" style="180" bestFit="1" customWidth="1"/>
    <col min="8962" max="8962" width="46.1796875" style="180" bestFit="1" customWidth="1"/>
    <col min="8963" max="8963" width="15.453125" style="180" bestFit="1" customWidth="1"/>
    <col min="8964" max="8964" width="20.453125" style="180" customWidth="1"/>
    <col min="8965" max="8965" width="21" style="180" bestFit="1" customWidth="1"/>
    <col min="8966" max="8966" width="6.1796875" style="180" bestFit="1" customWidth="1"/>
    <col min="8967" max="8967" width="22.81640625" style="180" customWidth="1"/>
    <col min="8968" max="8968" width="23.45312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453125" style="180" bestFit="1" customWidth="1"/>
    <col min="9218" max="9218" width="46.1796875" style="180" bestFit="1" customWidth="1"/>
    <col min="9219" max="9219" width="15.453125" style="180" bestFit="1" customWidth="1"/>
    <col min="9220" max="9220" width="20.453125" style="180" customWidth="1"/>
    <col min="9221" max="9221" width="21" style="180" bestFit="1" customWidth="1"/>
    <col min="9222" max="9222" width="6.1796875" style="180" bestFit="1" customWidth="1"/>
    <col min="9223" max="9223" width="22.81640625" style="180" customWidth="1"/>
    <col min="9224" max="9224" width="23.45312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453125" style="180" bestFit="1" customWidth="1"/>
    <col min="9474" max="9474" width="46.1796875" style="180" bestFit="1" customWidth="1"/>
    <col min="9475" max="9475" width="15.453125" style="180" bestFit="1" customWidth="1"/>
    <col min="9476" max="9476" width="20.453125" style="180" customWidth="1"/>
    <col min="9477" max="9477" width="21" style="180" bestFit="1" customWidth="1"/>
    <col min="9478" max="9478" width="6.1796875" style="180" bestFit="1" customWidth="1"/>
    <col min="9479" max="9479" width="22.81640625" style="180" customWidth="1"/>
    <col min="9480" max="9480" width="23.45312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453125" style="180" bestFit="1" customWidth="1"/>
    <col min="9730" max="9730" width="46.1796875" style="180" bestFit="1" customWidth="1"/>
    <col min="9731" max="9731" width="15.453125" style="180" bestFit="1" customWidth="1"/>
    <col min="9732" max="9732" width="20.453125" style="180" customWidth="1"/>
    <col min="9733" max="9733" width="21" style="180" bestFit="1" customWidth="1"/>
    <col min="9734" max="9734" width="6.1796875" style="180" bestFit="1" customWidth="1"/>
    <col min="9735" max="9735" width="22.81640625" style="180" customWidth="1"/>
    <col min="9736" max="9736" width="23.45312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453125" style="180" bestFit="1" customWidth="1"/>
    <col min="9986" max="9986" width="46.1796875" style="180" bestFit="1" customWidth="1"/>
    <col min="9987" max="9987" width="15.453125" style="180" bestFit="1" customWidth="1"/>
    <col min="9988" max="9988" width="20.453125" style="180" customWidth="1"/>
    <col min="9989" max="9989" width="21" style="180" bestFit="1" customWidth="1"/>
    <col min="9990" max="9990" width="6.1796875" style="180" bestFit="1" customWidth="1"/>
    <col min="9991" max="9991" width="22.81640625" style="180" customWidth="1"/>
    <col min="9992" max="9992" width="23.45312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453125" style="180" bestFit="1" customWidth="1"/>
    <col min="10242" max="10242" width="46.1796875" style="180" bestFit="1" customWidth="1"/>
    <col min="10243" max="10243" width="15.453125" style="180" bestFit="1" customWidth="1"/>
    <col min="10244" max="10244" width="20.453125" style="180" customWidth="1"/>
    <col min="10245" max="10245" width="21" style="180" bestFit="1" customWidth="1"/>
    <col min="10246" max="10246" width="6.1796875" style="180" bestFit="1" customWidth="1"/>
    <col min="10247" max="10247" width="22.81640625" style="180" customWidth="1"/>
    <col min="10248" max="10248" width="23.45312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453125" style="180" bestFit="1" customWidth="1"/>
    <col min="10498" max="10498" width="46.1796875" style="180" bestFit="1" customWidth="1"/>
    <col min="10499" max="10499" width="15.453125" style="180" bestFit="1" customWidth="1"/>
    <col min="10500" max="10500" width="20.453125" style="180" customWidth="1"/>
    <col min="10501" max="10501" width="21" style="180" bestFit="1" customWidth="1"/>
    <col min="10502" max="10502" width="6.1796875" style="180" bestFit="1" customWidth="1"/>
    <col min="10503" max="10503" width="22.81640625" style="180" customWidth="1"/>
    <col min="10504" max="10504" width="23.45312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453125" style="180" bestFit="1" customWidth="1"/>
    <col min="10754" max="10754" width="46.1796875" style="180" bestFit="1" customWidth="1"/>
    <col min="10755" max="10755" width="15.453125" style="180" bestFit="1" customWidth="1"/>
    <col min="10756" max="10756" width="20.453125" style="180" customWidth="1"/>
    <col min="10757" max="10757" width="21" style="180" bestFit="1" customWidth="1"/>
    <col min="10758" max="10758" width="6.1796875" style="180" bestFit="1" customWidth="1"/>
    <col min="10759" max="10759" width="22.81640625" style="180" customWidth="1"/>
    <col min="10760" max="10760" width="23.45312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453125" style="180" bestFit="1" customWidth="1"/>
    <col min="11010" max="11010" width="46.1796875" style="180" bestFit="1" customWidth="1"/>
    <col min="11011" max="11011" width="15.453125" style="180" bestFit="1" customWidth="1"/>
    <col min="11012" max="11012" width="20.453125" style="180" customWidth="1"/>
    <col min="11013" max="11013" width="21" style="180" bestFit="1" customWidth="1"/>
    <col min="11014" max="11014" width="6.1796875" style="180" bestFit="1" customWidth="1"/>
    <col min="11015" max="11015" width="22.81640625" style="180" customWidth="1"/>
    <col min="11016" max="11016" width="23.45312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453125" style="180" bestFit="1" customWidth="1"/>
    <col min="11266" max="11266" width="46.1796875" style="180" bestFit="1" customWidth="1"/>
    <col min="11267" max="11267" width="15.453125" style="180" bestFit="1" customWidth="1"/>
    <col min="11268" max="11268" width="20.453125" style="180" customWidth="1"/>
    <col min="11269" max="11269" width="21" style="180" bestFit="1" customWidth="1"/>
    <col min="11270" max="11270" width="6.1796875" style="180" bestFit="1" customWidth="1"/>
    <col min="11271" max="11271" width="22.81640625" style="180" customWidth="1"/>
    <col min="11272" max="11272" width="23.45312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453125" style="180" bestFit="1" customWidth="1"/>
    <col min="11522" max="11522" width="46.1796875" style="180" bestFit="1" customWidth="1"/>
    <col min="11523" max="11523" width="15.453125" style="180" bestFit="1" customWidth="1"/>
    <col min="11524" max="11524" width="20.453125" style="180" customWidth="1"/>
    <col min="11525" max="11525" width="21" style="180" bestFit="1" customWidth="1"/>
    <col min="11526" max="11526" width="6.1796875" style="180" bestFit="1" customWidth="1"/>
    <col min="11527" max="11527" width="22.81640625" style="180" customWidth="1"/>
    <col min="11528" max="11528" width="23.45312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453125" style="180" bestFit="1" customWidth="1"/>
    <col min="11778" max="11778" width="46.1796875" style="180" bestFit="1" customWidth="1"/>
    <col min="11779" max="11779" width="15.453125" style="180" bestFit="1" customWidth="1"/>
    <col min="11780" max="11780" width="20.453125" style="180" customWidth="1"/>
    <col min="11781" max="11781" width="21" style="180" bestFit="1" customWidth="1"/>
    <col min="11782" max="11782" width="6.1796875" style="180" bestFit="1" customWidth="1"/>
    <col min="11783" max="11783" width="22.81640625" style="180" customWidth="1"/>
    <col min="11784" max="11784" width="23.45312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453125" style="180" bestFit="1" customWidth="1"/>
    <col min="12034" max="12034" width="46.1796875" style="180" bestFit="1" customWidth="1"/>
    <col min="12035" max="12035" width="15.453125" style="180" bestFit="1" customWidth="1"/>
    <col min="12036" max="12036" width="20.453125" style="180" customWidth="1"/>
    <col min="12037" max="12037" width="21" style="180" bestFit="1" customWidth="1"/>
    <col min="12038" max="12038" width="6.1796875" style="180" bestFit="1" customWidth="1"/>
    <col min="12039" max="12039" width="22.81640625" style="180" customWidth="1"/>
    <col min="12040" max="12040" width="23.45312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453125" style="180" bestFit="1" customWidth="1"/>
    <col min="12290" max="12290" width="46.1796875" style="180" bestFit="1" customWidth="1"/>
    <col min="12291" max="12291" width="15.453125" style="180" bestFit="1" customWidth="1"/>
    <col min="12292" max="12292" width="20.453125" style="180" customWidth="1"/>
    <col min="12293" max="12293" width="21" style="180" bestFit="1" customWidth="1"/>
    <col min="12294" max="12294" width="6.1796875" style="180" bestFit="1" customWidth="1"/>
    <col min="12295" max="12295" width="22.81640625" style="180" customWidth="1"/>
    <col min="12296" max="12296" width="23.45312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453125" style="180" bestFit="1" customWidth="1"/>
    <col min="12546" max="12546" width="46.1796875" style="180" bestFit="1" customWidth="1"/>
    <col min="12547" max="12547" width="15.453125" style="180" bestFit="1" customWidth="1"/>
    <col min="12548" max="12548" width="20.453125" style="180" customWidth="1"/>
    <col min="12549" max="12549" width="21" style="180" bestFit="1" customWidth="1"/>
    <col min="12550" max="12550" width="6.1796875" style="180" bestFit="1" customWidth="1"/>
    <col min="12551" max="12551" width="22.81640625" style="180" customWidth="1"/>
    <col min="12552" max="12552" width="23.45312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453125" style="180" bestFit="1" customWidth="1"/>
    <col min="12802" max="12802" width="46.1796875" style="180" bestFit="1" customWidth="1"/>
    <col min="12803" max="12803" width="15.453125" style="180" bestFit="1" customWidth="1"/>
    <col min="12804" max="12804" width="20.453125" style="180" customWidth="1"/>
    <col min="12805" max="12805" width="21" style="180" bestFit="1" customWidth="1"/>
    <col min="12806" max="12806" width="6.1796875" style="180" bestFit="1" customWidth="1"/>
    <col min="12807" max="12807" width="22.81640625" style="180" customWidth="1"/>
    <col min="12808" max="12808" width="23.45312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453125" style="180" bestFit="1" customWidth="1"/>
    <col min="13058" max="13058" width="46.1796875" style="180" bestFit="1" customWidth="1"/>
    <col min="13059" max="13059" width="15.453125" style="180" bestFit="1" customWidth="1"/>
    <col min="13060" max="13060" width="20.453125" style="180" customWidth="1"/>
    <col min="13061" max="13061" width="21" style="180" bestFit="1" customWidth="1"/>
    <col min="13062" max="13062" width="6.1796875" style="180" bestFit="1" customWidth="1"/>
    <col min="13063" max="13063" width="22.81640625" style="180" customWidth="1"/>
    <col min="13064" max="13064" width="23.45312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453125" style="180" bestFit="1" customWidth="1"/>
    <col min="13314" max="13314" width="46.1796875" style="180" bestFit="1" customWidth="1"/>
    <col min="13315" max="13315" width="15.453125" style="180" bestFit="1" customWidth="1"/>
    <col min="13316" max="13316" width="20.453125" style="180" customWidth="1"/>
    <col min="13317" max="13317" width="21" style="180" bestFit="1" customWidth="1"/>
    <col min="13318" max="13318" width="6.1796875" style="180" bestFit="1" customWidth="1"/>
    <col min="13319" max="13319" width="22.81640625" style="180" customWidth="1"/>
    <col min="13320" max="13320" width="23.45312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453125" style="180" bestFit="1" customWidth="1"/>
    <col min="13570" max="13570" width="46.1796875" style="180" bestFit="1" customWidth="1"/>
    <col min="13571" max="13571" width="15.453125" style="180" bestFit="1" customWidth="1"/>
    <col min="13572" max="13572" width="20.453125" style="180" customWidth="1"/>
    <col min="13573" max="13573" width="21" style="180" bestFit="1" customWidth="1"/>
    <col min="13574" max="13574" width="6.1796875" style="180" bestFit="1" customWidth="1"/>
    <col min="13575" max="13575" width="22.81640625" style="180" customWidth="1"/>
    <col min="13576" max="13576" width="23.45312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453125" style="180" bestFit="1" customWidth="1"/>
    <col min="13826" max="13826" width="46.1796875" style="180" bestFit="1" customWidth="1"/>
    <col min="13827" max="13827" width="15.453125" style="180" bestFit="1" customWidth="1"/>
    <col min="13828" max="13828" width="20.453125" style="180" customWidth="1"/>
    <col min="13829" max="13829" width="21" style="180" bestFit="1" customWidth="1"/>
    <col min="13830" max="13830" width="6.1796875" style="180" bestFit="1" customWidth="1"/>
    <col min="13831" max="13831" width="22.81640625" style="180" customWidth="1"/>
    <col min="13832" max="13832" width="23.45312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453125" style="180" bestFit="1" customWidth="1"/>
    <col min="14082" max="14082" width="46.1796875" style="180" bestFit="1" customWidth="1"/>
    <col min="14083" max="14083" width="15.453125" style="180" bestFit="1" customWidth="1"/>
    <col min="14084" max="14084" width="20.453125" style="180" customWidth="1"/>
    <col min="14085" max="14085" width="21" style="180" bestFit="1" customWidth="1"/>
    <col min="14086" max="14086" width="6.1796875" style="180" bestFit="1" customWidth="1"/>
    <col min="14087" max="14087" width="22.81640625" style="180" customWidth="1"/>
    <col min="14088" max="14088" width="23.45312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453125" style="180" bestFit="1" customWidth="1"/>
    <col min="14338" max="14338" width="46.1796875" style="180" bestFit="1" customWidth="1"/>
    <col min="14339" max="14339" width="15.453125" style="180" bestFit="1" customWidth="1"/>
    <col min="14340" max="14340" width="20.453125" style="180" customWidth="1"/>
    <col min="14341" max="14341" width="21" style="180" bestFit="1" customWidth="1"/>
    <col min="14342" max="14342" width="6.1796875" style="180" bestFit="1" customWidth="1"/>
    <col min="14343" max="14343" width="22.81640625" style="180" customWidth="1"/>
    <col min="14344" max="14344" width="23.45312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453125" style="180" bestFit="1" customWidth="1"/>
    <col min="14594" max="14594" width="46.1796875" style="180" bestFit="1" customWidth="1"/>
    <col min="14595" max="14595" width="15.453125" style="180" bestFit="1" customWidth="1"/>
    <col min="14596" max="14596" width="20.453125" style="180" customWidth="1"/>
    <col min="14597" max="14597" width="21" style="180" bestFit="1" customWidth="1"/>
    <col min="14598" max="14598" width="6.1796875" style="180" bestFit="1" customWidth="1"/>
    <col min="14599" max="14599" width="22.81640625" style="180" customWidth="1"/>
    <col min="14600" max="14600" width="23.45312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453125" style="180" bestFit="1" customWidth="1"/>
    <col min="14850" max="14850" width="46.1796875" style="180" bestFit="1" customWidth="1"/>
    <col min="14851" max="14851" width="15.453125" style="180" bestFit="1" customWidth="1"/>
    <col min="14852" max="14852" width="20.453125" style="180" customWidth="1"/>
    <col min="14853" max="14853" width="21" style="180" bestFit="1" customWidth="1"/>
    <col min="14854" max="14854" width="6.1796875" style="180" bestFit="1" customWidth="1"/>
    <col min="14855" max="14855" width="22.81640625" style="180" customWidth="1"/>
    <col min="14856" max="14856" width="23.45312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453125" style="180" bestFit="1" customWidth="1"/>
    <col min="15106" max="15106" width="46.1796875" style="180" bestFit="1" customWidth="1"/>
    <col min="15107" max="15107" width="15.453125" style="180" bestFit="1" customWidth="1"/>
    <col min="15108" max="15108" width="20.453125" style="180" customWidth="1"/>
    <col min="15109" max="15109" width="21" style="180" bestFit="1" customWidth="1"/>
    <col min="15110" max="15110" width="6.1796875" style="180" bestFit="1" customWidth="1"/>
    <col min="15111" max="15111" width="22.81640625" style="180" customWidth="1"/>
    <col min="15112" max="15112" width="23.45312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453125" style="180" bestFit="1" customWidth="1"/>
    <col min="15362" max="15362" width="46.1796875" style="180" bestFit="1" customWidth="1"/>
    <col min="15363" max="15363" width="15.453125" style="180" bestFit="1" customWidth="1"/>
    <col min="15364" max="15364" width="20.453125" style="180" customWidth="1"/>
    <col min="15365" max="15365" width="21" style="180" bestFit="1" customWidth="1"/>
    <col min="15366" max="15366" width="6.1796875" style="180" bestFit="1" customWidth="1"/>
    <col min="15367" max="15367" width="22.81640625" style="180" customWidth="1"/>
    <col min="15368" max="15368" width="23.45312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453125" style="180" bestFit="1" customWidth="1"/>
    <col min="15618" max="15618" width="46.1796875" style="180" bestFit="1" customWidth="1"/>
    <col min="15619" max="15619" width="15.453125" style="180" bestFit="1" customWidth="1"/>
    <col min="15620" max="15620" width="20.453125" style="180" customWidth="1"/>
    <col min="15621" max="15621" width="21" style="180" bestFit="1" customWidth="1"/>
    <col min="15622" max="15622" width="6.1796875" style="180" bestFit="1" customWidth="1"/>
    <col min="15623" max="15623" width="22.81640625" style="180" customWidth="1"/>
    <col min="15624" max="15624" width="23.45312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453125" style="180" bestFit="1" customWidth="1"/>
    <col min="15874" max="15874" width="46.1796875" style="180" bestFit="1" customWidth="1"/>
    <col min="15875" max="15875" width="15.453125" style="180" bestFit="1" customWidth="1"/>
    <col min="15876" max="15876" width="20.453125" style="180" customWidth="1"/>
    <col min="15877" max="15877" width="21" style="180" bestFit="1" customWidth="1"/>
    <col min="15878" max="15878" width="6.1796875" style="180" bestFit="1" customWidth="1"/>
    <col min="15879" max="15879" width="22.81640625" style="180" customWidth="1"/>
    <col min="15880" max="15880" width="23.45312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453125" style="180" bestFit="1" customWidth="1"/>
    <col min="16130" max="16130" width="46.1796875" style="180" bestFit="1" customWidth="1"/>
    <col min="16131" max="16131" width="15.453125" style="180" bestFit="1" customWidth="1"/>
    <col min="16132" max="16132" width="20.453125" style="180" customWidth="1"/>
    <col min="16133" max="16133" width="21" style="180" bestFit="1" customWidth="1"/>
    <col min="16134" max="16134" width="6.1796875" style="180" bestFit="1" customWidth="1"/>
    <col min="16135" max="16135" width="22.81640625" style="180" customWidth="1"/>
    <col min="16136" max="16136" width="23.45312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5" x14ac:dyDescent="0.2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5" x14ac:dyDescent="0.25">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5" x14ac:dyDescent="0.25">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5" x14ac:dyDescent="0.25">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5" x14ac:dyDescent="0.25">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5" x14ac:dyDescent="0.25">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5" x14ac:dyDescent="0.25">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5" x14ac:dyDescent="0.25">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5" x14ac:dyDescent="0.25">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5" x14ac:dyDescent="0.25">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5" x14ac:dyDescent="0.25">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5" x14ac:dyDescent="0.25">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5" x14ac:dyDescent="0.25">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5" x14ac:dyDescent="0.25">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5" x14ac:dyDescent="0.25">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5" x14ac:dyDescent="0.25">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80" t="str">
        <f>Spolu!C3&amp;", "&amp;Spolu!C6</f>
        <v>Slovenská asociácia korfbalu, Makovického 6, Prievidza, 971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2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2"/>
      <c r="N17" s="137" t="str">
        <f t="shared" si="0"/>
        <v xml:space="preserve">q - </v>
      </c>
      <c r="O17" s="137" t="s">
        <v>367</v>
      </c>
    </row>
    <row r="18" spans="1:16" x14ac:dyDescent="0.25">
      <c r="B18" s="193" t="s">
        <v>1272</v>
      </c>
      <c r="C18" s="142" t="str">
        <f>Spolu!C4</f>
        <v>31940668</v>
      </c>
      <c r="E18" s="147" t="s">
        <v>1273</v>
      </c>
      <c r="F18" s="282">
        <v>421947749446</v>
      </c>
      <c r="N18" s="137" t="str">
        <f t="shared" si="0"/>
        <v xml:space="preserve">r - </v>
      </c>
      <c r="O18" s="137" t="s">
        <v>368</v>
      </c>
    </row>
    <row r="19" spans="1:16" x14ac:dyDescent="0.25">
      <c r="E19" s="147" t="s">
        <v>1274</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sonoga</cp:lastModifiedBy>
  <cp:revision/>
  <cp:lastPrinted>2026-04-12T04:43:33Z</cp:lastPrinted>
  <dcterms:created xsi:type="dcterms:W3CDTF">2017-02-20T06:20:12Z</dcterms:created>
  <dcterms:modified xsi:type="dcterms:W3CDTF">2026-04-12T14:31:22Z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