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HP\Desktop\wushu a ost\sacw\2025\dotacie\nove podmienky pre rok 2025\"/>
    </mc:Choice>
  </mc:AlternateContent>
  <xr:revisionPtr revIDLastSave="0" documentId="13_ncr:1_{69E397C4-6548-49C9-8CB2-44994122B484}"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<sst xmlns="http://schemas.openxmlformats.org/spreadsheetml/2006/main" count="2808" uniqueCount="1591">
  <si>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</si>
  <si>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</si>
  <si>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</si>
  <si>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</si>
  <si>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</si>
  <si>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</si>
  <si>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</si>
  <si>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</si>
  <si>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</si>
  <si>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</si>
  <si>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</si>
  <si>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</si>
  <si>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</si>
  <si>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</si>
  <si>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</si>
  <si>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</si>
  <si>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</si>
  <si>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</si>
  <si>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</si>
  <si>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</si>
  <si>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</si>
  <si>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</si>
  <si>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</si>
  <si>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</si>
  <si>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</si>
  <si>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</si>
  <si>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</si>
  <si>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</si>
  <si>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</si>
  <si>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</si>
  <si>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</si>
  <si>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</si>
  <si>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</si>
  <si>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</si>
  <si>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</si>
  <si>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</si>
  <si>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</si>
  <si>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</si>
  <si>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</si>
  <si>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</si>
  <si>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</si>
  <si>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</si>
  <si>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</si>
  <si>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</si>
  <si>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</si>
  <si>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</si>
  <si>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</si>
  <si>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</si>
  <si>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</si>
  <si>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</si>
  <si>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</si>
  <si>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</si>
  <si>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</si>
  <si>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</si>
  <si>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</si>
  <si>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</si>
  <si>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</si>
  <si>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</si>
  <si>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</si>
  <si>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</si>
  <si>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</si>
  <si>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</si>
  <si>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</si>
  <si>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</si>
  <si>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</si>
  <si>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</si>
  <si>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</si>
  <si>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</si>
  <si>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</si>
  <si>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</si>
  <si>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</si>
  <si>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</si>
  <si>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</si>
  <si>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</si>
  <si>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</si>
  <si>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</si>
  <si>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</si>
  <si>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</si>
  <si>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</si>
  <si>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</si>
  <si>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</si>
  <si>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</si>
  <si>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</si>
  <si>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</si>
  <si>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</si>
  <si>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</si>
  <si>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</si>
  <si>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</si>
  <si>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</si>
  <si>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</si>
  <si>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</si>
  <si>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</si>
  <si>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</si>
  <si>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</si>
  <si>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</si>
  <si>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</si>
  <si>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</si>
  <si>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</si>
  <si>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</si>
  <si>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</si>
  <si>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</si>
  <si>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</si>
  <si>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</si>
  <si>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</si>
  <si>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</si>
  <si>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</si>
  <si>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</si>
  <si>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</si>
  <si>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</si>
  <si>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</si>
  <si>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</si>
  <si>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</si>
  <si>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</si>
  <si>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</si>
  <si>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</si>
  <si>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</si>
  <si>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</si>
  <si>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</si>
  <si>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</si>
  <si>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</si>
  <si>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</si>
  <si>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</si>
  <si>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</si>
  <si>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</si>
  <si>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</si>
  <si>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</si>
  <si>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</si>
  <si>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</si>
  <si>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</si>
  <si>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</si>
  <si>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</si>
  <si>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</si>
  <si>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</si>
  <si>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</si>
  <si>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</si>
  <si>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</si>
  <si>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</si>
  <si>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</si>
  <si>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</si>
  <si>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</si>
  <si>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</si>
  <si>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</si>
  <si>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</si>
  <si>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</si>
  <si>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</si>
  <si>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</si>
  <si>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</si>
  <si>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</si>
  <si>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</si>
  <si>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</si>
  <si>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</si>
  <si>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</si>
  <si>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</si>
  <si>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</si>
  <si>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</si>
  <si>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</si>
  <si>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</si>
  <si>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</si>
  <si>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</si>
  <si>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</si>
  <si>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</si>
  <si>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</si>
  <si>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</si>
  <si>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</si>
  <si>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</si>
  <si>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</si>
  <si>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</si>
  <si>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</si>
  <si>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</si>
  <si>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</si>
  <si>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</si>
  <si>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</si>
  <si>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</si>
  <si>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</si>
  <si>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</si>
  <si>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</si>
  <si>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</si>
  <si>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</si>
  <si>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</si>
  <si>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</si>
  <si>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</si>
  <si>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</si>
  <si>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</si>
  <si>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</si>
  <si>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</si>
  <si>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</si>
  <si>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</si>
  <si>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</si>
  <si>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</si>
  <si>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</si>
  <si>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</si>
  <si>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</si>
  <si>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</si>
  <si>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</si>
  <si>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</si>
  <si>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</si>
  <si>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</si>
  <si>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</si>
  <si>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</si>
  <si>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</si>
  <si>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</si>
  <si>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</si>
  <si>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</si>
  <si>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</si>
  <si>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</si>
  <si>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</si>
  <si>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</si>
  <si>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</si>
  <si>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</si>
  <si>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</si>
  <si>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</si>
  <si>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</si>
  <si>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</si>
  <si>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</si>
  <si>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</si>
  <si>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</si>
  <si>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</si>
  <si>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</si>
  <si>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</si>
  <si>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</si>
  <si>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</si>
  <si>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</si>
  <si>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</si>
  <si>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</si>
  <si>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</si>
  <si>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</si>
  <si>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</si>
  <si>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</si>
  <si>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</si>
  <si>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</si>
  <si>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</si>
  <si>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</si>
  <si>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</si>
  <si>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</si>
  <si>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</si>
  <si>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</si>
  <si>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</si>
  <si>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</si>
  <si>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</si>
  <si>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</si>
  <si>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</si>
  <si>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</si>
  <si>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</si>
  <si>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</si>
  <si>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</si>
  <si>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</si>
  <si>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</si>
  <si>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</si>
  <si>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</si>
  <si>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</si>
  <si>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</si>
  <si>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</si>
  <si>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</si>
  <si>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</si>
  <si>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</si>
  <si>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</si>
  <si>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</si>
  <si>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</si>
  <si>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</si>
  <si>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</si>
  <si>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</si>
  <si>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</si>
  <si>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</si>
  <si>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</si>
  <si>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</si>
  <si>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</si>
  <si>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</si>
  <si>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</si>
  <si>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</si>
  <si>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</si>
  <si>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</si>
  <si>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</si>
  <si>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</si>
  <si>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</si>
  <si>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</si>
  <si>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</si>
  <si>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</si>
  <si>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</si>
  <si>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</si>
  <si>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</si>
  <si>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</si>
  <si>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</si>
  <si>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</si>
  <si>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</si>
  <si>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</si>
  <si>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</si>
  <si>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</si>
  <si>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</si>
  <si>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</si>
  <si>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</si>
  <si>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</si>
  <si>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</si>
  <si>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</si>
  <si>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</si>
  <si>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</si>
  <si>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</si>
  <si>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</si>
  <si>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</si>
  <si>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</si>
  <si>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</si>
  <si>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</si>
  <si>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</si>
  <si>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</si>
  <si>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</si>
  <si>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</si>
  <si>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</si>
  <si>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</si>
  <si>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</si>
  <si>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</si>
  <si>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</si>
  <si>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</si>
  <si>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</si>
  <si>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</si>
  <si>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</si>
  <si>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</si>
  <si>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</si>
  <si>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</si>
  <si>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</si>
  <si>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</si>
  <si>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</si>
  <si>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</si>
  <si>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</si>
  <si>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</si>
  <si>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</si>
  <si>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</si>
  <si>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</si>
  <si>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</si>
  <si>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</si>
  <si>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</si>
  <si>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</si>
  <si>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</si>
  <si>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</si>
  <si>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</si>
  <si>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</si>
  <si>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</si>
  <si>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</si>
  <si>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</si>
  <si>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</si>
  <si>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</si>
  <si>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</si>
  <si>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</si>
  <si>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</si>
  <si>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</si>
  <si>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</si>
  <si>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</si>
  <si>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</si>
  <si>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</si>
  <si>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</si>
  <si>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</si>
  <si>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</si>
  <si>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</si>
  <si>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</si>
  <si>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</si>
  <si>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</si>
  <si>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</si>
  <si>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</si>
  <si>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</si>
  <si>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</si>
  <si>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</si>
  <si>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</si>
  <si>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</si>
  <si>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</si>
  <si>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</si>
  <si>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</si>
  <si>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</si>
  <si>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</si>
  <si>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</si>
  <si>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</si>
  <si>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</si>
  <si>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</si>
  <si>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</si>
  <si>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</si>
  <si>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</si>
  <si>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</si>
  <si>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</si>
  <si>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</si>
  <si>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</si>
  <si>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</si>
  <si>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</si>
  <si>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</si>
  <si>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</si>
  <si>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</si>
  <si>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</si>
  <si>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</si>
  <si>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</si>
  <si>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</si>
  <si>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</si>
  <si>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</si>
  <si>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</si>
  <si>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</si>
  <si>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</si>
  <si>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</si>
  <si>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</si>
  <si>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</si>
  <si>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</si>
  <si>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</si>
  <si>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</si>
  <si>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</si>
  <si>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</si>
  <si>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</si>
  <si>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</si>
  <si>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</si>
  <si>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</si>
  <si>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</si>
  <si>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</si>
  <si>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</si>
  <si>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</si>
  <si>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</si>
  <si>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</si>
  <si>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</si>
  <si>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</si>
  <si>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</si>
  <si>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</si>
  <si>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</si>
  <si>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</si>
  <si>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</si>
  <si>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</si>
  <si>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</si>
  <si>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</si>
  <si>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</si>
  <si>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</si>
  <si>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</si>
  <si>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</si>
  <si>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</si>
  <si>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</si>
  <si>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</si>
  <si>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</si>
  <si>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</si>
  <si>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</si>
  <si>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</si>
  <si>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</si>
  <si>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</si>
  <si>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</si>
  <si>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</si>
  <si>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</si>
  <si>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</si>
  <si>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</si>
  <si>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</si>
  <si>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</si>
  <si>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</si>
  <si>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</si>
  <si>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</si>
  <si>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</si>
  <si>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</si>
  <si>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</si>
  <si>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</si>
  <si>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</si>
  <si>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</si>
  <si>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</si>
  <si>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</si>
  <si>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</si>
  <si>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</si>
  <si>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</si>
  <si>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</si>
  <si>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</si>
  <si>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</si>
  <si>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</si>
  <si>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</si>
  <si>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</si>
  <si>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</si>
  <si>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</si>
  <si>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</si>
  <si>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</si>
  <si>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</si>
  <si>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</si>
  <si>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</si>
  <si>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</si>
  <si>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</si>
  <si>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</si>
  <si>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</si>
  <si>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</si>
  <si>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</si>
  <si>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</si>
  <si>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</si>
  <si>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</si>
  <si>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</si>
  <si>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</si>
  <si>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</si>
  <si>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</si>
  <si>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</si>
  <si>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</si>
  <si>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</si>
  <si>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</si>
  <si>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</si>
  <si>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</si>
  <si>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</si>
  <si>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</si>
  <si>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</si>
  <si>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</si>
  <si>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</si>
  <si>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</si>
  <si>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</si>
  <si>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</si>
  <si>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</si>
  <si>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</si>
  <si>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</si>
  <si>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</si>
  <si>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</si>
  <si>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</si>
  <si>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</si>
  <si>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</si>
  <si>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</si>
  <si>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</si>
  <si>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</si>
  <si>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</si>
  <si>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</si>
  <si>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</si>
  <si>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</si>
  <si>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</si>
  <si>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</si>
  <si>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</si>
  <si>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</si>
  <si>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</si>
  <si>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</si>
  <si>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</si>
  <si>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</si>
  <si>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</si>
  <si>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</si>
  <si>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</si>
  <si>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</si>
  <si>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</si>
  <si>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</si>
  <si>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</si>
  <si>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</si>
  <si>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</si>
  <si>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</si>
  <si>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</si>
  <si>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</si>
  <si>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</si>
  <si>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</si>
  <si>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</si>
  <si>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</si>
  <si>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</si>
  <si>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</si>
  <si>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</si>
  <si>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</si>
  <si>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</si>
  <si>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</si>
  <si>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</si>
  <si>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</si>
  <si>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</si>
  <si>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</si>
  <si>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</si>
  <si>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</si>
  <si>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</si>
  <si>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</si>
  <si>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</si>
  <si>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</si>
  <si>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</si>
  <si>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</si>
  <si>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</si>
  <si>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</si>
  <si>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</si>
  <si>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</si>
  <si>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</si>
  <si>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</si>
  <si>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</si>
  <si>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</si>
  <si>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</si>
  <si>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</si>
  <si>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</si>
  <si>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</si>
  <si>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</si>
  <si>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</si>
  <si>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</si>
  <si>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</si>
  <si>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</si>
  <si>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</si>
  <si>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</si>
  <si>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</si>
  <si>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</si>
  <si>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</si>
  <si>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</si>
  <si>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</si>
  <si>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</si>
  <si>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</si>
  <si>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</si>
  <si>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</si>
  <si>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</si>
  <si>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</si>
  <si>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</si>
  <si>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</si>
  <si>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</si>
  <si>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</si>
  <si>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</si>
  <si>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</si>
  <si>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</si>
  <si>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</si>
  <si>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</si>
  <si>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</si>
  <si>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</si>
  <si>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</si>
  <si>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</si>
  <si>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</si>
  <si>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</si>
  <si>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</si>
  <si>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</si>
  <si>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</si>
  <si>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</si>
  <si>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</si>
  <si>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</si>
  <si>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</si>
  <si>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</si>
  <si>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</si>
  <si>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</si>
  <si>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</si>
  <si>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</si>
  <si>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</si>
  <si>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</si>
  <si>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</si>
  <si>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</si>
  <si>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</si>
  <si>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</si>
  <si>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</si>
  <si>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</si>
  <si>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</si>
  <si>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</si>
  <si>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</si>
  <si>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</si>
  <si>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</si>
  <si>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</si>
  <si>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</si>
  <si>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</si>
  <si>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</si>
  <si>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</si>
  <si>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</si>
  <si>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</si>
  <si>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</si>
  <si>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</si>
  <si>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</si>
  <si>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</si>
  <si>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</si>
  <si>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</si>
  <si>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</si>
  <si>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</si>
  <si>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</si>
  <si>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</si>
  <si>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</si>
  <si>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</si>
  <si>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</si>
  <si>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</si>
  <si>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</si>
  <si>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</si>
  <si>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</si>
  <si>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</si>
  <si>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</si>
  <si>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</si>
  <si>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</si>
  <si>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</si>
  <si>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</si>
  <si>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</si>
  <si>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</si>
  <si>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</si>
  <si>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</si>
  <si>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</si>
  <si>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</si>
  <si>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</si>
  <si>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</si>
  <si>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</si>
  <si>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</si>
  <si>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</si>
  <si>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</si>
  <si>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</si>
  <si>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</si>
  <si>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</si>
  <si>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</si>
  <si>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</si>
  <si>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</si>
  <si>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</si>
  <si>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</si>
  <si>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</si>
  <si>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</si>
  <si>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</si>
  <si>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</si>
  <si>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</si>
  <si>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</si>
  <si>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</si>
  <si>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</si>
  <si>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</si>
  <si>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</si>
  <si>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</si>
  <si>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</si>
  <si>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</si>
  <si>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</si>
  <si>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</si>
  <si>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</si>
  <si>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</si>
  <si>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</si>
  <si>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</si>
  <si>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</si>
  <si>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</si>
  <si>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</si>
  <si>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</si>
  <si>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</si>
  <si>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</si>
  <si>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</si>
  <si>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</si>
  <si>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</si>
  <si>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</si>
  <si>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</si>
  <si>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</si>
  <si>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</si>
  <si>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</si>
  <si>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</si>
  <si>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</si>
  <si>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</si>
  <si>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</si>
  <si>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</si>
  <si>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</si>
  <si>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</si>
  <si>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</si>
  <si>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</si>
  <si>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</si>
  <si>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</si>
  <si>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</si>
  <si>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</si>
  <si>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</si>
  <si>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</si>
  <si>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</si>
  <si>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</si>
  <si>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</si>
  <si>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</si>
  <si>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</si>
  <si>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</si>
  <si>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</si>
  <si>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</si>
  <si>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</si>
  <si>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</si>
  <si>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</si>
  <si>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</si>
  <si>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</si>
  <si>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</si>
  <si>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</si>
  <si>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</si>
  <si>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</si>
  <si>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</si>
  <si>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</si>
  <si>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</si>
  <si>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</si>
  <si>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</si>
  <si>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</si>
  <si>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</si>
  <si>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</si>
  <si>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</si>
  <si>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</si>
  <si>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</si>
  <si>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</si>
  <si>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</si>
  <si>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</si>
  <si>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</si>
  <si>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</si>
  <si>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</si>
  <si>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</si>
  <si>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</si>
  <si>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</si>
  <si>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</si>
  <si>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</si>
  <si>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</si>
  <si>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</si>
  <si>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</si>
  <si>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</si>
  <si>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</si>
  <si>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</si>
  <si>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</si>
  <si>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</si>
  <si>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</si>
  <si>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</si>
  <si>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</si>
  <si>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</si>
  <si>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</si>
  <si>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</si>
  <si>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</si>
  <si>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</si>
  <si>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</si>
  <si>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</si>
  <si>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</si>
  <si>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</si>
  <si>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</si>
  <si>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</si>
  <si>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</si>
  <si>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</si>
  <si>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</si>
  <si>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</si>
  <si>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</si>
  <si>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</si>
  <si>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</si>
  <si>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</si>
  <si>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</si>
  <si>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</si>
  <si>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</si>
  <si>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</si>
  <si>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</si>
  <si>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</si>
  <si>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</si>
  <si>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</si>
  <si>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</si>
  <si>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</si>
  <si>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</si>
  <si>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</si>
  <si>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</si>
  <si>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</si>
  <si>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</si>
  <si>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</si>
  <si>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</si>
  <si>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</si>
  <si>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</si>
  <si>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</si>
  <si>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</si>
  <si>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</si>
  <si>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</si>
  <si>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</si>
  <si>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</si>
  <si>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</si>
  <si>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</si>
  <si>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</si>
  <si>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</si>
  <si>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</si>
  <si>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</si>
  <si>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</si>
  <si>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</si>
  <si>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</si>
  <si>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</si>
  <si>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</si>
  <si>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</si>
  <si>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</si>
  <si>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</si>
  <si>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</si>
  <si>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</si>
  <si>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</si>
  <si>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</si>
  <si>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</si>
  <si>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</si>
  <si>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</si>
  <si>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</si>
  <si>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</si>
  <si>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</si>
  <si>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</si>
  <si>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</si>
  <si>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</si>
  <si>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</si>
  <si>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</si>
  <si>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</si>
  <si>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</si>
  <si>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</si>
  <si>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</si>
  <si>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</si>
  <si>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</si>
  <si>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</si>
  <si>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</si>
  <si>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</si>
  <si>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</si>
  <si>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</si>
  <si>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</si>
  <si>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</si>
  <si>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</si>
  <si>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</si>
  <si>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</si>
  <si>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</si>
  <si>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</si>
  <si>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</si>
  <si>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</si>
  <si>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</si>
  <si>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</si>
  <si>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</si>
  <si>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</si>
  <si>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</si>
  <si>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</si>
  <si>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</si>
  <si>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</si>
  <si>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</si>
  <si>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</si>
  <si>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</si>
  <si>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</si>
  <si>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</si>
  <si>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</si>
  <si>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</si>
  <si>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</si>
  <si>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</si>
  <si>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</si>
  <si>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</si>
  <si>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</si>
  <si>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</si>
  <si>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</si>
  <si>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</si>
  <si>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</si>
  <si>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</si>
  <si>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</si>
  <si>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</si>
  <si>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</si>
  <si>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</si>
  <si>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</si>
  <si>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</si>
  <si>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</si>
  <si>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</si>
  <si>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</si>
  <si>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</si>
  <si>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</si>
  <si>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</si>
  <si>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</si>
  <si>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</si>
  <si>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</si>
  <si>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</si>
  <si>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</si>
  <si>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</si>
  <si>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</si>
  <si>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</si>
  <si>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</si>
  <si>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</si>
  <si>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</si>
  <si>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</si>
  <si>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</si>
  <si>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</si>
  <si>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</si>
  <si>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</si>
  <si>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</si>
  <si>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</si>
  <si>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</si>
  <si>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</si>
  <si>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</si>
  <si>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</si>
  <si>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</si>
  <si>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</si>
  <si>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</si>
  <si>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</si>
  <si>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</si>
  <si>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</si>
  <si>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</si>
  <si>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</si>
  <si>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</si>
  <si>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</si>
  <si>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</si>
  <si>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</si>
  <si>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</si>
  <si>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</si>
  <si>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</si>
  <si>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</si>
  <si>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</si>
  <si>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</si>
  <si>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</si>
  <si>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</si>
  <si>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</si>
  <si>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</si>
  <si>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</si>
  <si>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</si>
  <si>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</si>
  <si>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</si>
  <si>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</si>
  <si>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</si>
  <si>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</si>
  <si>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</si>
  <si>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</si>
  <si>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</si>
  <si>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</si>
  <si>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</si>
  <si>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</si>
  <si>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</si>
  <si>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</si>
  <si>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</si>
  <si>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</si>
  <si>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</si>
  <si>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</si>
  <si>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</si>
  <si>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</si>
  <si>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</si>
  <si>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</si>
  <si>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</si>
  <si>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</si>
  <si>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</si>
  <si>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</si>
  <si>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</si>
  <si>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</si>
  <si>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</si>
  <si>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</si>
  <si>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</si>
  <si>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</si>
  <si>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</si>
  <si>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</si>
  <si>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</si>
  <si>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</si>
  <si>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</si>
  <si>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</si>
  <si>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</si>
  <si>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</si>
  <si>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</si>
  <si>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</si>
  <si>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</si>
  <si>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</si>
  <si>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</si>
  <si>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</si>
  <si>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</si>
  <si>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</si>
  <si>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</si>
  <si>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</si>
  <si>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</si>
  <si>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</si>
  <si>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</si>
  <si>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</si>
  <si>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</si>
  <si>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</si>
  <si>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</si>
  <si>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</si>
  <si>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</si>
  <si>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</si>
  <si>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</si>
  <si>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</si>
  <si>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</si>
  <si>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</si>
  <si>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</si>
  <si>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</si>
  <si>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</si>
  <si>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</si>
  <si>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</si>
  <si>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</si>
  <si>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</si>
  <si>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</si>
  <si>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</si>
  <si>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</si>
  <si>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</si>
  <si>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</si>
  <si>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</si>
  <si>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</si>
  <si>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</si>
  <si>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</si>
  <si>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</si>
  <si>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</si>
  <si>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</si>
  <si>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</si>
  <si>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</si>
  <si>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</si>
  <si>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</si>
  <si>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</si>
  <si>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</si>
  <si>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</si>
  <si>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</si>
  <si>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</si>
  <si>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</si>
  <si>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</si>
  <si>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</si>
  <si>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</si>
  <si>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</si>
  <si>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</si>
  <si>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</si>
  <si>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</si>
  <si>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</si>
  <si>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</si>
  <si>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</si>
  <si>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</si>
  <si>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</si>
  <si>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</si>
  <si>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</si>
  <si>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</si>
  <si>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</si>
  <si>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</si>
  <si>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</si>
  <si>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</si>
  <si>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</si>
  <si>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</si>
  <si>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</si>
  <si>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</si>
  <si>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</si>
  <si>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</si>
  <si>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</si>
  <si>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</si>
  <si>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</si>
  <si>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</si>
  <si>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</si>
  <si>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</si>
  <si>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</si>
  <si>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</si>
  <si>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</si>
  <si>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</si>
  <si>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</si>
  <si>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</si>
  <si>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</si>
  <si>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</si>
  <si>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</si>
  <si>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</si>
  <si>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</si>
  <si>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</si>
  <si>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</si>
  <si>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</si>
  <si>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</si>
  <si>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</si>
  <si>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</si>
  <si>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</si>
  <si>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</si>
  <si>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</si>
  <si>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</si>
  <si>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</si>
  <si>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</si>
  <si>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</si>
  <si>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</si>
  <si>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</si>
  <si>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</si>
  <si>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</si>
  <si>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</si>
  <si>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</si>
  <si>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</si>
  <si>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</si>
  <si>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</si>
  <si>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</si>
  <si>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</si>
  <si>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</si>
  <si>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</si>
  <si>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</si>
  <si>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</si>
  <si>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</si>
  <si>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</si>
  <si>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</si>
  <si>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</si>
  <si>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</si>
  <si>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</si>
  <si>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</si>
  <si>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</si>
  <si>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</si>
  <si>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</si>
  <si>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</si>
  <si>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</si>
  <si>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</si>
  <si>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</si>
  <si>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</si>
  <si>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</si>
  <si>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</si>
  <si>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</si>
  <si>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</si>
  <si>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</si>
  <si>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</si>
  <si>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</si>
  <si>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</si>
  <si>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</si>
  <si>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</si>
  <si>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</si>
  <si>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</si>
  <si>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</si>
  <si>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</si>
  <si>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</si>
  <si>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</si>
  <si>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</si>
  <si>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</si>
  <si>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</si>
  <si>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</si>
  <si>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</si>
  <si>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</si>
  <si>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</si>
  <si>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</si>
  <si>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</si>
  <si>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</si>
  <si>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</si>
  <si>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</si>
  <si>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</si>
  <si>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</si>
  <si>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</si>
  <si>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</si>
  <si>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</si>
  <si>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</si>
  <si>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</si>
  <si>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</si>
  <si>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</si>
  <si>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</si>
  <si>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</si>
  <si>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</si>
  <si>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</si>
  <si>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</si>
  <si>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</si>
  <si>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</si>
  <si>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</si>
  <si>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</si>
  <si>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</si>
  <si>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</si>
  <si>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</si>
  <si>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</si>
  <si>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</si>
  <si>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</si>
  <si>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</si>
  <si>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</si>
  <si>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</si>
  <si>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</si>
  <si>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</si>
  <si>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</si>
  <si>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</si>
  <si>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</si>
  <si>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</si>
  <si>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</si>
  <si>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</si>
  <si>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</si>
  <si>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</si>
  <si>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</si>
  <si>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</si>
  <si>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</si>
  <si>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</si>
  <si>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</si>
  <si>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</si>
  <si>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</si>
  <si>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</si>
  <si>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</si>
  <si>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</si>
  <si>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</si>
  <si>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</si>
  <si>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</si>
  <si>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</si>
  <si>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</si>
  <si>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</si>
  <si>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</si>
  <si>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</si>
  <si>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</si>
  <si>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</si>
  <si>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</si>
  <si>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</si>
  <si>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</si>
  <si>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</si>
  <si>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</si>
  <si>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</si>
  <si>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</si>
  <si>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</si>
  <si>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</si>
  <si>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</si>
  <si>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</si>
  <si>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</si>
  <si>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</si>
  <si>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</si>
  <si>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</si>
  <si>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</si>
  <si>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</si>
  <si>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</si>
  <si>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</si>
  <si>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</si>
  <si>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</si>
  <si>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</si>
  <si>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</si>
  <si>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</si>
  <si>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</si>
  <si>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</si>
  <si>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</si>
  <si>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</si>
  <si>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</si>
  <si>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</si>
  <si>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</si>
  <si>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</si>
  <si>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</si>
  <si>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</si>
  <si>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</si>
  <si>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</si>
  <si>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</si>
  <si>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</si>
  <si>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</si>
  <si>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</si>
  <si>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</si>
  <si>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</si>
  <si>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</si>
  <si>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</si>
  <si>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</si>
  <si>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</si>
  <si>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</si>
  <si>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</si>
  <si>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</si>
  <si>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</si>
  <si>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</si>
  <si>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</si>
  <si>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</si>
  <si>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</si>
  <si>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</si>
  <si>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</si>
  <si>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</si>
  <si>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</si>
  <si>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</si>
  <si>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</si>
  <si>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</si>
  <si>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</si>
  <si>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</si>
  <si>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</si>
  <si>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</si>
  <si>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</si>
  <si>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</si>
  <si>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</si>
  <si>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</si>
  <si>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</si>
  <si>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</si>
  <si>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</si>
  <si>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</si>
  <si>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</si>
  <si>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</si>
  <si>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</si>
  <si>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</si>
  <si>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</si>
  <si>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</si>
  <si>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</si>
  <si>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</si>
  <si>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</si>
  <si>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</si>
  <si>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</si>
  <si>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</si>
  <si>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</si>
  <si>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</si>
  <si>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</si>
  <si>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</si>
  <si>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</si>
  <si>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</si>
  <si>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</si>
  <si>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</si>
  <si>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</si>
  <si>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</si>
  <si>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</si>
  <si>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</si>
  <si>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</si>
  <si>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</si>
  <si>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</si>
  <si>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</si>
  <si>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</si>
  <si>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</si>
  <si>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</si>
  <si>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</si>
  <si>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</si>
  <si>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</si>
  <si>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</si>
  <si>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</si>
  <si>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</si>
  <si>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</si>
  <si>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</si>
  <si>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</si>
  <si>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</si>
  <si>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</si>
  <si>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</si>
  <si>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</si>
  <si>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</si>
  <si>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</si>
  <si>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</si>
  <si>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</si>
  <si>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</si>
  <si>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</si>
  <si>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</si>
  <si>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</si>
  <si>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</si>
  <si>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</si>
  <si>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</si>
  <si>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</si>
  <si>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</si>
  <si>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</si>
  <si>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</si>
  <si>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</si>
  <si>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</si>
  <si>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</si>
  <si>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</si>
  <si>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</si>
  <si>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</si>
  <si>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</si>
  <si>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</si>
  <si>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</si>
  <si>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</si>
  <si>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</si>
  <si>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</si>
  <si>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</si>
  <si>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</si>
  <si>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</si>
  <si>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</si>
  <si>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</si>
  <si>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</si>
  <si>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</si>
  <si>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</si>
  <si>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</si>
  <si>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</si>
  <si>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</si>
  <si>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</si>
  <si>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</si>
  <si>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</si>
  <si>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</si>
  <si>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</si>
  <si>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</si>
  <si>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</si>
  <si>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</si>
  <si>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</si>
  <si>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</si>
  <si>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</si>
  <si>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</si>
  <si>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</si>
  <si>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</si>
  <si>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</si>
  <si>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</si>
  <si>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</si>
  <si>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</si>
  <si>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</si>
  <si>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</si>
  <si>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</si>
  <si>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</si>
  <si>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</si>
  <si>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</si>
  <si>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</si>
  <si>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</si>
  <si>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</si>
  <si>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</si>
  <si>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</si>
  <si>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</si>
  <si>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</si>
  <si>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</si>
  <si>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</si>
  <si>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</si>
  <si>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</si>
  <si>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</si>
  <si>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</si>
  <si>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</si>
  <si>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</si>
  <si>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</si>
  <si>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</si>
  <si>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</si>
  <si>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</si>
  <si>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</si>
  <si>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</si>
  <si>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</si>
  <si>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</si>
  <si>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</si>
  <si>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</si>
  <si>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</si>
  <si>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</si>
  <si>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</si>
  <si>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</si>
  <si>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</si>
  <si>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</si>
  <si>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</si>
  <si>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</si>
  <si>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</si>
  <si>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</si>
  <si>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</si>
  <si>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</si>
  <si>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</si>
  <si>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</si>
  <si>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</si>
  <si>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</si>
  <si>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</si>
  <si>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</si>
  <si>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</si>
  <si>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</si>
  <si>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</si>
  <si>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</si>
  <si>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</si>
  <si>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</si>
  <si>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</si>
  <si>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</si>
  <si>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</si>
  <si>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</si>
  <si>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</si>
  <si>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</si>
  <si>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</si>
  <si>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</si>
  <si>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</si>
  <si>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</si>
  <si>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</si>
  <si>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</si>
  <si>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</si>
  <si>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</si>
  <si>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</si>
  <si>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</si>
  <si>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</si>
  <si>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</si>
  <si>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</si>
  <si>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</si>
  <si>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</si>
  <si>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</si>
  <si>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</si>
  <si>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</si>
  <si>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</si>
  <si>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</si>
  <si>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</si>
  <si>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</si>
  <si>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</si>
  <si>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</si>
  <si>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</si>
  <si>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</si>
  <si>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</si>
  <si>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</si>
  <si>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</si>
  <si>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</si>
  <si>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</si>
  <si>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</si>
  <si>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</si>
  <si>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</si>
  <si>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</si>
  <si>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</si>
  <si>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</si>
  <si>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</si>
  <si>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</si>
  <si>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</si>
  <si>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</si>
  <si>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</si>
  <si>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</si>
  <si>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</si>
  <si>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</si>
  <si>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</si>
  <si>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</si>
  <si>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</si>
  <si>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</si>
  <si>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</si>
  <si>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</si>
  <si>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</si>
  <si>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</si>
  <si>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</si>
  <si>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</si>
  <si>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</si>
  <si>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</si>
  <si>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</si>
  <si>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</si>
  <si>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</si>
  <si>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</si>
  <si>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</si>
  <si>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</si>
  <si>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</si>
  <si>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</si>
  <si>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</si>
  <si>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wushu - bežné transfery</t>
  </si>
  <si>
    <t>Pracovná cesta: Názov - Majstrovstvá Európy vo wushu, Miesto: Kréta, Grécko Dátum -30.4. – 5.5.2025, Doprava - letecky, Počet súťažiacich: 9 športovcov., tréner doprovod - 1 osoba</t>
  </si>
  <si>
    <t>000028</t>
  </si>
  <si>
    <t xml:space="preserve">DEPOSIT FOR THE ENTRY FEE FOR THE EUROPEAN WUSHU CHAMPIONISHIPS - depozit - štartovné Majstrovstvá Európy vo wushu 2025 - úhrada polovice sumy </t>
  </si>
  <si>
    <t>HELLENIC WUSHU KUNG FU FEDERATION</t>
  </si>
  <si>
    <t>df-501</t>
  </si>
  <si>
    <t>df-502</t>
  </si>
  <si>
    <t>pelicantravel.com s.r.o</t>
  </si>
  <si>
    <t>dokupenie prirucnej batoziny - 1 osoba, ME vo wushu 2025</t>
  </si>
  <si>
    <t>Organizovanie podujatia, Názov: Majstrovstvá Slovenska vo wushu 2025. Miesto: Bratislava Termín: 31.5.2025</t>
  </si>
  <si>
    <t>402504409</t>
  </si>
  <si>
    <t>nákup materialu na MSR 2025, preplatenie platby v hotovosti, bd-2725, 25.4.2025</t>
  </si>
  <si>
    <t>Rempo s.r.o</t>
  </si>
  <si>
    <t>df-505</t>
  </si>
  <si>
    <t>nákup diplomov na MSR 2025, preplatenie platby v hotovosti, bd-2925, 10.5.2025</t>
  </si>
  <si>
    <t>TYPOCON s.r.o</t>
  </si>
  <si>
    <t>593</t>
  </si>
  <si>
    <t>farby do tlačiarne - MSR 2025</t>
  </si>
  <si>
    <t>Alza.sk s.r.o.</t>
  </si>
  <si>
    <t>nákup protišmykových podložiek pod súťažny koberec na MSR 2025, preplatenie platby v hotovosti, bd-3225, 24.5.2025</t>
  </si>
  <si>
    <t>Jutex Slovakia s.r.o.</t>
  </si>
  <si>
    <t>Technická podpora počas MSR Wushu 2025</t>
  </si>
  <si>
    <t>Sigilo, s. r. o.</t>
  </si>
  <si>
    <t>prenájom športových zariadení v objekte DOM ŠPORTU, MSR 2025</t>
  </si>
  <si>
    <t>DOM ŠPORTU, s.r.o</t>
  </si>
  <si>
    <t xml:space="preserve">technické zabezpečenie 31.5.2025 Majstrovstvá Slovenska vo wushu 2025 - Ozvučenie, 3 x repro , 3 x obrazovka, 4 x mikrofón, technik, </t>
  </si>
  <si>
    <t>T-service, s.r.o.</t>
  </si>
  <si>
    <t>2025-09</t>
  </si>
  <si>
    <t>Slovak Wushu Championship 2025 - fotograficke sluzby</t>
  </si>
  <si>
    <t>Tatiana Bérešová - Felicita FOTO</t>
  </si>
  <si>
    <t>df-503</t>
  </si>
  <si>
    <t>df-507</t>
  </si>
  <si>
    <t>df-508</t>
  </si>
  <si>
    <t>df-511</t>
  </si>
  <si>
    <t>df-512</t>
  </si>
  <si>
    <t>df-513</t>
  </si>
  <si>
    <t>df-516</t>
  </si>
  <si>
    <t>df-517</t>
  </si>
  <si>
    <t>9125577054</t>
  </si>
  <si>
    <t>platba za letenky na MS 2025 v Brazilii (športové wushu), 2 osoby + poistenie storna</t>
  </si>
  <si>
    <t>df-521</t>
  </si>
  <si>
    <t xml:space="preserve">Úhrada účasti SVK športovcove na 17th WWC - Majstrovstva sveta v modernom wushu 2025, 2 osoby </t>
  </si>
  <si>
    <t>BRAZILIAN WUSHU CONFEDERATION</t>
  </si>
  <si>
    <t>df-533</t>
  </si>
  <si>
    <t>VS000PKE4345</t>
  </si>
  <si>
    <t>cestovné poistenie pre Adam Bielčik a Mariia Stelmakh, MS Brazília,  preplatenie platby, bd-5725, 30.8.2025</t>
  </si>
  <si>
    <t>UNIQA poisťovňa, a.s.</t>
  </si>
  <si>
    <t>Pracovná cesta: Názov - Majstrovstvá sveta v tradičnom wushu, Miesto: Emeishan, Čína Dátum -14.10.2025. – 20.10.2025, Doprava - letecky, Počet súťažiacich: 7 športovcov, 1 doprovod tréner</t>
  </si>
  <si>
    <t>Pracovná cesta: Názov - Majstrovstvá sveta v modernom wushu, Miesto: Brazília, Brazília Dátum -31.8.2025. – 7.9.2025, Doprava - letecky, Počet súťažiacich: 2 športovci</t>
  </si>
  <si>
    <t>df-523</t>
  </si>
  <si>
    <t>platba za letenky na MS 2025 v Číne (tradičné wushu), 8 osôb + poistenie storna</t>
  </si>
  <si>
    <t>df-536</t>
  </si>
  <si>
    <t>250094</t>
  </si>
  <si>
    <t>df-537</t>
  </si>
  <si>
    <t>INV-SVK-092501</t>
  </si>
  <si>
    <t>športová prehliadka - repre MS - 1 osoba, ergometria</t>
  </si>
  <si>
    <t>IMUNOSPORT s. r. o.</t>
  </si>
  <si>
    <t>Participation Fee for WORLD KUNGFU CHAMPIONSHIPS 2025 - Slovakia (8 persons)</t>
  </si>
  <si>
    <t>Sichuan Major International Travel Agency Co., Ltd</t>
  </si>
  <si>
    <t>df-539</t>
  </si>
  <si>
    <t>Preprava z letiska na hotel a z hotela v rámci - WORLD KUNGFU CHAMPIONSHIPS 2025 - Slovakia (8 persons)</t>
  </si>
  <si>
    <t>df-504</t>
  </si>
  <si>
    <t>prenajom telocvicne, talentovana mladez</t>
  </si>
  <si>
    <t>Mestský športový areál Stará Turá s.r.o.</t>
  </si>
  <si>
    <t>df-510</t>
  </si>
  <si>
    <t>202505053</t>
  </si>
  <si>
    <t>df-506</t>
  </si>
  <si>
    <t>250401</t>
  </si>
  <si>
    <t>účtovna evidencia 2024, vypracovanie účtovnej závierky a daňového priznania 2024.</t>
  </si>
  <si>
    <t>carnone s.r.o.</t>
  </si>
  <si>
    <t>df-522</t>
  </si>
  <si>
    <t>poplatok za zahranicny prevod</t>
  </si>
  <si>
    <t>Fio banka, a.s.,</t>
  </si>
  <si>
    <t>df-538</t>
  </si>
  <si>
    <t>df-540</t>
  </si>
  <si>
    <t>df-509</t>
  </si>
  <si>
    <t>47/2025</t>
  </si>
  <si>
    <t>Megagym invest s.r.o.</t>
  </si>
  <si>
    <t>df-552</t>
  </si>
  <si>
    <t>tlac diplomov na sutaz - Kung fu deti 2 2025</t>
  </si>
  <si>
    <t>T-štúdio, s.r.o.</t>
  </si>
  <si>
    <t>df-554</t>
  </si>
  <si>
    <t>Organizovanie podujatia, Názov: Kung fu Deti 2025 2. kolo. Miesto: Stará Turá, Termín: 22.11.2025</t>
  </si>
  <si>
    <t xml:space="preserve">Technická podpora a prevádzka súťažného programu počas súťaže Kung fu deti 2 2025 </t>
  </si>
  <si>
    <t>preprava cvičebného koberca (Trnava - Brezno), preplatenie platby v hotovosti, bd-3325, 24.5.2025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</si>
</sst>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1"/>
      <color indexed="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xf numFmtId="0" fontId="89" fillId="0" borderId="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3" borderId="0" xfId="0" applyNumberFormat="1" applyFont="1" applyFill="1" applyAlignment="1" applyProtection="1">
      <alignment horizontal="center" vertical="top" wrapText="1"/>
      <protection locked="0"/>
    </xf>
    <xf numFmtId="164" fontId="1" fillId="3" borderId="0" xfId="0" applyNumberFormat="1" applyFont="1" applyFill="1" applyAlignment="1" applyProtection="1">
      <alignment horizontal="center" vertical="top"/>
      <protection locked="0"/>
    </xf>
    <xf numFmtId="4" fontId="1" fillId="3" borderId="0" xfId="0" applyNumberFormat="1" applyFont="1" applyFill="1" applyAlignment="1" applyProtection="1">
      <alignment horizontal="center" vertical="top"/>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Excel Built-in Normal" xfId="32" xr:uid="{1B95FCCB-8776-4466-B71C-4B4C93B67250}"/>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6"/>
      <c r="D1" s="32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7"/>
      <c r="D21" s="327"/>
    </row>
    <row r="22" spans="1:4" x14ac:dyDescent="0.25">
      <c r="C22" s="328"/>
      <c r="D22" s="327"/>
    </row>
    <row r="23" spans="1:4" ht="66" x14ac:dyDescent="0.25">
      <c r="A23" s="23" t="s">
        <v>1380</v>
      </c>
      <c r="C23" s="255"/>
      <c r="D23" s="256"/>
    </row>
    <row r="24" spans="1:4" ht="12.75" customHeight="1" x14ac:dyDescent="0.25">
      <c r="C24" s="324"/>
      <c r="D24" s="32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opLeftCell="A1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2" t="str">
        <f>Spolu!C3&amp;", "&amp;Spolu!C6</f>
        <v>Slovenská asociácia čínskeho wushu, Ladislava Dérera 35, Bratislava, 831 01</v>
      </c>
      <c r="B1" s="372"/>
      <c r="C1" s="372"/>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25">
      <c r="E4" s="374"/>
      <c r="F4" s="374"/>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7" t="s">
        <v>1310</v>
      </c>
      <c r="C14" s="378"/>
      <c r="F14" s="313"/>
      <c r="N14" s="137" t="str">
        <f t="shared" si="0"/>
        <v xml:space="preserve">n - </v>
      </c>
      <c r="O14" s="137" t="s">
        <v>364</v>
      </c>
    </row>
    <row r="15" spans="1:16" ht="34.35" customHeight="1" x14ac:dyDescent="0.25">
      <c r="A15" s="139" t="s">
        <v>1311</v>
      </c>
      <c r="B15" s="377"/>
      <c r="C15" s="378"/>
      <c r="F15" s="380"/>
      <c r="N15" s="137" t="str">
        <f t="shared" si="0"/>
        <v xml:space="preserve">o - </v>
      </c>
      <c r="O15" s="137" t="s">
        <v>365</v>
      </c>
    </row>
    <row r="16" spans="1:16" x14ac:dyDescent="0.25">
      <c r="A16" s="139" t="s">
        <v>1295</v>
      </c>
      <c r="B16" s="142">
        <f>F8</f>
        <v>0</v>
      </c>
      <c r="C16" s="137"/>
      <c r="F16" s="380"/>
      <c r="N16" s="137" t="str">
        <f t="shared" si="0"/>
        <v xml:space="preserve">p - </v>
      </c>
      <c r="O16" s="137" t="s">
        <v>366</v>
      </c>
    </row>
    <row r="17" spans="1:16" ht="32.1" customHeight="1" x14ac:dyDescent="0.25">
      <c r="A17" s="139" t="s">
        <v>1298</v>
      </c>
      <c r="B17" s="142">
        <f>F9</f>
        <v>0</v>
      </c>
      <c r="C17" s="137"/>
      <c r="F17" s="380"/>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42019541</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9" t="s">
        <v>1303</v>
      </c>
      <c r="C24" s="37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1" t="s">
        <v>1317</v>
      </c>
      <c r="B2" s="381"/>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9" t="s">
        <v>57</v>
      </c>
      <c r="B1" s="329"/>
      <c r="C1" s="329"/>
      <c r="D1" s="329"/>
      <c r="E1" s="329"/>
      <c r="F1" s="329"/>
      <c r="G1" s="329"/>
      <c r="H1" s="329"/>
      <c r="I1" s="52"/>
      <c r="J1" s="37"/>
    </row>
    <row r="2" spans="1:11" ht="15.6" x14ac:dyDescent="0.3">
      <c r="A2" s="335" t="s">
        <v>58</v>
      </c>
      <c r="B2" s="335"/>
      <c r="C2" s="335"/>
      <c r="D2" s="335"/>
      <c r="E2" s="335"/>
      <c r="F2" s="335"/>
      <c r="G2" s="335"/>
      <c r="H2" s="333" t="str">
        <f>+Doklady!I100</f>
        <v>V2</v>
      </c>
      <c r="I2" s="333"/>
    </row>
    <row r="3" spans="1:11" ht="13.8" x14ac:dyDescent="0.25">
      <c r="A3" s="40"/>
      <c r="B3" s="40"/>
      <c r="C3" s="40"/>
      <c r="D3" s="40"/>
      <c r="E3" s="40"/>
      <c r="F3" s="40"/>
      <c r="G3" s="40"/>
      <c r="H3" s="334">
        <f>+Doklady!I101</f>
        <v>45887</v>
      </c>
      <c r="I3" s="334"/>
    </row>
    <row r="4" spans="1:11" ht="15.75" customHeight="1" x14ac:dyDescent="0.25">
      <c r="A4" s="41" t="s">
        <v>59</v>
      </c>
      <c r="B4" s="330" t="s">
        <v>60</v>
      </c>
      <c r="C4" s="331"/>
      <c r="D4" s="331"/>
      <c r="E4" s="33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8" t="s">
        <v>311</v>
      </c>
      <c r="B1" s="339"/>
      <c r="C1" s="174">
        <v>45688</v>
      </c>
      <c r="D1" s="26"/>
      <c r="G1" s="252">
        <v>45688</v>
      </c>
    </row>
    <row r="2" spans="1:7" ht="13.8" x14ac:dyDescent="0.25">
      <c r="A2" s="28"/>
      <c r="B2" s="28"/>
      <c r="G2" s="252">
        <v>45716</v>
      </c>
    </row>
    <row r="3" spans="1:7" ht="13.8" x14ac:dyDescent="0.25">
      <c r="A3" s="30" t="s">
        <v>312</v>
      </c>
      <c r="B3" s="336" t="str">
        <f>INDEX(Adr!B:B,Doklady!B102+1)</f>
        <v>Slovenská asociácia čínskeho wushu</v>
      </c>
      <c r="C3" s="336"/>
      <c r="D3" s="336"/>
      <c r="G3" s="252">
        <v>45747</v>
      </c>
    </row>
    <row r="4" spans="1:7" ht="13.8" x14ac:dyDescent="0.25">
      <c r="A4" s="30" t="s">
        <v>313</v>
      </c>
      <c r="B4" s="29" t="str">
        <f>RIGHT("0000"&amp;INDEX(Adr!A:A,Doklady!B102+1),8)</f>
        <v>42019541</v>
      </c>
      <c r="G4" s="252">
        <v>45777</v>
      </c>
    </row>
    <row r="5" spans="1:7" ht="13.8" x14ac:dyDescent="0.25">
      <c r="A5" s="30" t="s">
        <v>314</v>
      </c>
      <c r="B5" s="29" t="str">
        <f>INDEX(Adr!D:D,Doklady!B102+1)&amp;", "&amp;INDEX(Adr!E:E,Doklady!B102+1)</f>
        <v>Ladislava Dérera 35,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24934</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24934</v>
      </c>
      <c r="G15" s="252"/>
    </row>
    <row r="16" spans="1:7" ht="13.8" x14ac:dyDescent="0.25">
      <c r="G16" s="252"/>
    </row>
    <row r="17" spans="1:5" ht="72" customHeight="1" x14ac:dyDescent="0.25">
      <c r="A17" s="337" t="s">
        <v>328</v>
      </c>
      <c r="B17" s="337"/>
      <c r="C17" s="337"/>
      <c r="D17" s="33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9" t="s">
        <v>1504</v>
      </c>
      <c r="B1" s="359"/>
      <c r="C1" s="359"/>
      <c r="D1" s="359"/>
      <c r="E1" s="359"/>
      <c r="F1" s="359"/>
      <c r="G1" s="359"/>
      <c r="H1" s="359"/>
      <c r="I1" s="359"/>
    </row>
    <row r="2" spans="1:26" ht="7.5" customHeight="1" x14ac:dyDescent="0.2">
      <c r="C2" s="8"/>
      <c r="D2" s="8"/>
      <c r="E2" s="8"/>
      <c r="F2" s="8"/>
      <c r="G2" s="8"/>
      <c r="H2" s="8"/>
      <c r="I2" s="8"/>
    </row>
    <row r="3" spans="1:26" s="9" customFormat="1" ht="26.1" customHeight="1" x14ac:dyDescent="0.25">
      <c r="B3" s="160" t="s">
        <v>59</v>
      </c>
      <c r="C3" s="360" t="str">
        <f>INDEX(Adr!B2:B87,Doklady!B102)</f>
        <v>Slovenská asociácia čínskeho wushu</v>
      </c>
      <c r="D3" s="360"/>
      <c r="E3" s="360"/>
      <c r="F3" s="36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42019541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Ladislava Dérera 35, Bratislava, 831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61" t="s">
        <v>333</v>
      </c>
      <c r="F9" s="36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5">
        <f>SUMIF(K:K,A10,I:I)</f>
        <v>0</v>
      </c>
      <c r="F10" s="356"/>
      <c r="L10" s="120" t="s">
        <v>334</v>
      </c>
      <c r="M10" s="118"/>
      <c r="N10" s="118"/>
      <c r="O10" s="118"/>
      <c r="P10" s="118"/>
      <c r="Q10" s="118"/>
      <c r="R10" s="118"/>
      <c r="S10" s="118"/>
    </row>
    <row r="11" spans="1:26" ht="17.399999999999999" x14ac:dyDescent="0.3">
      <c r="A11" s="69" t="s">
        <v>319</v>
      </c>
      <c r="B11" s="70" t="s">
        <v>320</v>
      </c>
      <c r="C11" s="126">
        <f>SUMIF(FP!J:J,Doklady!$B$1&amp;A11,FP!D:D)</f>
        <v>24934</v>
      </c>
      <c r="D11" s="126">
        <f>+C11-E11</f>
        <v>24932.590000000004</v>
      </c>
      <c r="E11" s="363">
        <f>+I39-I42+I44-I47</f>
        <v>1.4099999999962165</v>
      </c>
      <c r="F11" s="364"/>
      <c r="J11" s="176"/>
      <c r="L11" s="161" t="str">
        <f>L41</f>
        <v>a - wushu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5">
        <f>SUMIF(K:K,A12,I:I)</f>
        <v>0</v>
      </c>
      <c r="F12" s="356"/>
      <c r="J12" s="177"/>
      <c r="L12" s="161" t="str">
        <f>L42</f>
        <v>a - wushu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5">
        <f>SUMIF(K:K,A13,I:I)</f>
        <v>0</v>
      </c>
      <c r="F13" s="35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5">
        <f>SUMIF(K:K,A14,I:I)</f>
        <v>0</v>
      </c>
      <c r="F14" s="36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47" t="s">
        <v>336</v>
      </c>
      <c r="C16" s="348"/>
      <c r="D16" s="348"/>
      <c r="E16" s="348"/>
      <c r="F16" s="348"/>
      <c r="G16" s="348"/>
      <c r="H16" s="34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0" t="s">
        <v>339</v>
      </c>
      <c r="C17" s="350"/>
      <c r="D17" s="350"/>
      <c r="E17" s="350"/>
      <c r="F17" s="350"/>
      <c r="G17" s="350"/>
      <c r="H17" s="350"/>
      <c r="I17" s="73">
        <f>SUMIF(FP!I:I,Doklady!$B$1&amp;A17,FP!D:D)</f>
        <v>24934</v>
      </c>
      <c r="T17" s="86"/>
    </row>
    <row r="18" spans="1:20" x14ac:dyDescent="0.2">
      <c r="A18" s="135" t="s">
        <v>340</v>
      </c>
      <c r="B18" s="350" t="s">
        <v>341</v>
      </c>
      <c r="C18" s="350"/>
      <c r="D18" s="350"/>
      <c r="E18" s="350"/>
      <c r="F18" s="350"/>
      <c r="G18" s="350"/>
      <c r="H18" s="350"/>
      <c r="I18" s="73">
        <f>SUMIF(FP!I:I,Doklady!$B$1&amp;A18,FP!D:D)</f>
        <v>0</v>
      </c>
    </row>
    <row r="19" spans="1:20" x14ac:dyDescent="0.2">
      <c r="A19" s="115" t="s">
        <v>342</v>
      </c>
      <c r="B19" s="350" t="s">
        <v>343</v>
      </c>
      <c r="C19" s="350"/>
      <c r="D19" s="350"/>
      <c r="E19" s="350"/>
      <c r="F19" s="350"/>
      <c r="G19" s="350"/>
      <c r="H19" s="350"/>
      <c r="I19" s="73">
        <f>SUMIF(FP!I:I,Doklady!$B$1&amp;A19,FP!D:D)</f>
        <v>0</v>
      </c>
    </row>
    <row r="20" spans="1:20" x14ac:dyDescent="0.2">
      <c r="A20" s="135" t="s">
        <v>344</v>
      </c>
      <c r="B20" s="344" t="s">
        <v>345</v>
      </c>
      <c r="C20" s="345"/>
      <c r="D20" s="345"/>
      <c r="E20" s="345"/>
      <c r="F20" s="345"/>
      <c r="G20" s="345"/>
      <c r="H20" s="346"/>
      <c r="I20" s="73">
        <f>SUMIF(FP!I:I,Doklady!$B$1&amp;A20,FP!D:D)</f>
        <v>0</v>
      </c>
      <c r="T20" s="86"/>
    </row>
    <row r="21" spans="1:20" x14ac:dyDescent="0.2">
      <c r="A21" s="115" t="s">
        <v>346</v>
      </c>
      <c r="B21" s="344" t="s">
        <v>347</v>
      </c>
      <c r="C21" s="345"/>
      <c r="D21" s="345"/>
      <c r="E21" s="345"/>
      <c r="F21" s="345"/>
      <c r="G21" s="345"/>
      <c r="H21" s="346"/>
      <c r="I21" s="73">
        <f>SUMIF(FP!I:I,Doklady!$B$1&amp;A21,FP!D:D)</f>
        <v>0</v>
      </c>
      <c r="T21" s="86"/>
    </row>
    <row r="22" spans="1:20" x14ac:dyDescent="0.2">
      <c r="A22" s="135" t="s">
        <v>348</v>
      </c>
      <c r="B22" s="351" t="s">
        <v>349</v>
      </c>
      <c r="C22" s="352"/>
      <c r="D22" s="352"/>
      <c r="E22" s="352"/>
      <c r="F22" s="352"/>
      <c r="G22" s="352"/>
      <c r="H22" s="353"/>
      <c r="I22" s="73">
        <f>SUMIF(FP!I:I,Doklady!$B$1&amp;A22,FP!D:D)</f>
        <v>0</v>
      </c>
      <c r="T22" s="86"/>
    </row>
    <row r="23" spans="1:20" x14ac:dyDescent="0.2">
      <c r="A23" s="115" t="s">
        <v>350</v>
      </c>
      <c r="B23" s="344" t="s">
        <v>351</v>
      </c>
      <c r="C23" s="345"/>
      <c r="D23" s="345"/>
      <c r="E23" s="345"/>
      <c r="F23" s="345"/>
      <c r="G23" s="345"/>
      <c r="H23" s="346"/>
      <c r="I23" s="73">
        <f>SUMIF(FP!I:I,Doklady!$B$1&amp;A23,FP!D:D)</f>
        <v>0</v>
      </c>
      <c r="T23" s="86"/>
    </row>
    <row r="24" spans="1:20" x14ac:dyDescent="0.2">
      <c r="A24" s="135" t="s">
        <v>352</v>
      </c>
      <c r="B24" s="344" t="s">
        <v>353</v>
      </c>
      <c r="C24" s="345"/>
      <c r="D24" s="345"/>
      <c r="E24" s="345"/>
      <c r="F24" s="345"/>
      <c r="G24" s="345"/>
      <c r="H24" s="346"/>
      <c r="I24" s="73">
        <f>SUMIF(FP!I:I,Doklady!$B$1&amp;A24,FP!D:D)</f>
        <v>0</v>
      </c>
      <c r="T24" s="86"/>
    </row>
    <row r="25" spans="1:20" x14ac:dyDescent="0.2">
      <c r="A25" s="115" t="s">
        <v>354</v>
      </c>
      <c r="B25" s="367" t="s">
        <v>355</v>
      </c>
      <c r="C25" s="368"/>
      <c r="D25" s="368"/>
      <c r="E25" s="368"/>
      <c r="F25" s="368"/>
      <c r="G25" s="368"/>
      <c r="H25" s="369"/>
      <c r="I25" s="73">
        <f>SUMIF(FP!I:I,Doklady!$B$1&amp;A25,FP!D:D)</f>
        <v>0</v>
      </c>
      <c r="T25" s="86"/>
    </row>
    <row r="26" spans="1:20" x14ac:dyDescent="0.2">
      <c r="A26" s="135" t="s">
        <v>356</v>
      </c>
      <c r="B26" s="344" t="s">
        <v>357</v>
      </c>
      <c r="C26" s="345"/>
      <c r="D26" s="345"/>
      <c r="E26" s="345"/>
      <c r="F26" s="345"/>
      <c r="G26" s="345"/>
      <c r="H26" s="346"/>
      <c r="I26" s="73">
        <f>SUMIF(FP!I:I,Doklady!$B$1&amp;A26,FP!D:D)</f>
        <v>0</v>
      </c>
      <c r="T26" s="86"/>
    </row>
    <row r="27" spans="1:20" x14ac:dyDescent="0.2">
      <c r="A27" s="115" t="s">
        <v>358</v>
      </c>
      <c r="B27" s="344" t="s">
        <v>359</v>
      </c>
      <c r="C27" s="345"/>
      <c r="D27" s="345"/>
      <c r="E27" s="345"/>
      <c r="F27" s="345"/>
      <c r="G27" s="345"/>
      <c r="H27" s="346"/>
      <c r="I27" s="73">
        <f>SUMIF(FP!I:I,Doklady!$B$1&amp;A27,FP!D:D)</f>
        <v>0</v>
      </c>
      <c r="T27" s="86"/>
    </row>
    <row r="28" spans="1:20" x14ac:dyDescent="0.2">
      <c r="A28" s="135" t="s">
        <v>360</v>
      </c>
      <c r="B28" s="344" t="s">
        <v>361</v>
      </c>
      <c r="C28" s="345"/>
      <c r="D28" s="345"/>
      <c r="E28" s="345"/>
      <c r="F28" s="345"/>
      <c r="G28" s="345"/>
      <c r="H28" s="346"/>
      <c r="I28" s="73">
        <f>SUMIF(FP!I:I,Doklady!$B$1&amp;A28,FP!D:D)</f>
        <v>0</v>
      </c>
      <c r="T28" s="86"/>
    </row>
    <row r="29" spans="1:20" x14ac:dyDescent="0.2">
      <c r="A29" s="115" t="s">
        <v>362</v>
      </c>
      <c r="B29" s="344" t="s">
        <v>363</v>
      </c>
      <c r="C29" s="345"/>
      <c r="D29" s="345"/>
      <c r="E29" s="345"/>
      <c r="F29" s="345"/>
      <c r="G29" s="345"/>
      <c r="H29" s="346"/>
      <c r="I29" s="73">
        <f>SUMIF(FP!I:I,Doklady!$B$1&amp;A29,FP!D:D)</f>
        <v>0</v>
      </c>
      <c r="T29" s="86"/>
    </row>
    <row r="30" spans="1:20" hidden="1" x14ac:dyDescent="0.2">
      <c r="A30" s="135" t="s">
        <v>364</v>
      </c>
      <c r="B30" s="344"/>
      <c r="C30" s="345"/>
      <c r="D30" s="345"/>
      <c r="E30" s="345"/>
      <c r="F30" s="345"/>
      <c r="G30" s="345"/>
      <c r="H30" s="346"/>
      <c r="I30" s="73">
        <f>SUMIF(FP!I:I,Doklady!$B$1&amp;A30,FP!D:D)</f>
        <v>0</v>
      </c>
      <c r="T30" s="86"/>
    </row>
    <row r="31" spans="1:20" hidden="1" x14ac:dyDescent="0.2">
      <c r="A31" s="115" t="s">
        <v>365</v>
      </c>
      <c r="B31" s="344"/>
      <c r="C31" s="345"/>
      <c r="D31" s="345"/>
      <c r="E31" s="345"/>
      <c r="F31" s="345"/>
      <c r="G31" s="345"/>
      <c r="H31" s="346"/>
      <c r="I31" s="73">
        <f>SUMIF(FP!I:I,Doklady!$B$1&amp;A31,FP!D:D)</f>
        <v>0</v>
      </c>
      <c r="T31" s="86"/>
    </row>
    <row r="32" spans="1:20" hidden="1" x14ac:dyDescent="0.2">
      <c r="A32" s="135" t="s">
        <v>366</v>
      </c>
      <c r="B32" s="340"/>
      <c r="C32" s="341"/>
      <c r="D32" s="341"/>
      <c r="E32" s="341"/>
      <c r="F32" s="341"/>
      <c r="G32" s="341"/>
      <c r="H32" s="342"/>
      <c r="I32" s="73">
        <f>SUMIF(FP!I:I,Doklady!$B$1&amp;A32,FP!D:D)</f>
        <v>0</v>
      </c>
      <c r="T32" s="86"/>
    </row>
    <row r="33" spans="1:21" hidden="1" x14ac:dyDescent="0.2">
      <c r="A33" s="115" t="s">
        <v>367</v>
      </c>
      <c r="B33" s="340"/>
      <c r="C33" s="341"/>
      <c r="D33" s="341"/>
      <c r="E33" s="341"/>
      <c r="F33" s="341"/>
      <c r="G33" s="341"/>
      <c r="H33" s="342"/>
      <c r="I33" s="73">
        <f>SUMIF(FP!I:I,Doklady!$B$1&amp;A33,FP!D:D)</f>
        <v>0</v>
      </c>
      <c r="T33" s="86"/>
    </row>
    <row r="34" spans="1:21" hidden="1" x14ac:dyDescent="0.2">
      <c r="A34" s="135" t="s">
        <v>368</v>
      </c>
      <c r="B34" s="343"/>
      <c r="C34" s="343"/>
      <c r="D34" s="343"/>
      <c r="E34" s="343"/>
      <c r="F34" s="343"/>
      <c r="G34" s="343"/>
      <c r="H34" s="34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wushu</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4986.8</v>
      </c>
      <c r="G39" s="78">
        <f>+MAX(I39-C39-D39-E39-F39-H39,0)</f>
        <v>19947.2</v>
      </c>
      <c r="H39" s="78">
        <f>+IFERROR(VLOOKUP(K40&amp;" - kapitálové transfery",B$53:C$90,2,0),0)</f>
        <v>0</v>
      </c>
      <c r="I39" s="73">
        <f>SUMIF(FP!K:K,K40,FP!D:D)</f>
        <v>24934</v>
      </c>
      <c r="L39" s="84">
        <f>COUNTIF(FP!N:N,Doklady!B1&amp;"aK")</f>
        <v>0</v>
      </c>
      <c r="T39" s="86"/>
    </row>
    <row r="40" spans="1:21" x14ac:dyDescent="0.2">
      <c r="A40" s="115" t="s">
        <v>338</v>
      </c>
      <c r="B40" s="116" t="s">
        <v>377</v>
      </c>
      <c r="C40" s="78">
        <f>DSUM(Doklady!A103:J10000,"GGG",Spolu!L40:M42)</f>
        <v>0</v>
      </c>
      <c r="D40" s="78">
        <f>DSUM(Doklady!A103:J10000,"GGG",Spolu!N40:O42)</f>
        <v>300</v>
      </c>
      <c r="E40" s="78">
        <f>DSUM(Doklady!A103:J10000,"GGG",Spolu!P40:Q42)</f>
        <v>24372.590000000004</v>
      </c>
      <c r="F40" s="78">
        <f>DSUM(Doklady!A103:J10000,"GGG",Spolu!R40:S42)</f>
        <v>260</v>
      </c>
      <c r="G40" s="78">
        <f>DSUM(Doklady!A103:J10000,"GGG",Spolu!T40:U42)-H40</f>
        <v>0</v>
      </c>
      <c r="H40" s="78">
        <f>+IFERROR(VLOOKUP(K40&amp;" - kapitálové transfery",B$53:D$90,3,0),0)</f>
        <v>0</v>
      </c>
      <c r="I40" s="73">
        <f>+C40+D40+E40+F40+G40+H40</f>
        <v>24932.590000000004</v>
      </c>
      <c r="J40" s="218" t="str">
        <f>+K45</f>
        <v>.</v>
      </c>
      <c r="K40" s="218" t="str">
        <f>IF(L38&gt;0,INDEX(FP!K:K,Doklady!B2),".")</f>
        <v>wushu</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1.4099999999962165</v>
      </c>
      <c r="J41" s="219">
        <f>+K46</f>
        <v>0</v>
      </c>
      <c r="K41" s="219">
        <f>+I41-H41</f>
        <v>1.4099999999962165</v>
      </c>
      <c r="L41" s="161" t="str">
        <f>IF(L38&gt;0,"a - "&amp;INDEX(FP!C:C,Doklady!B2),2)</f>
        <v>a - wushu - bežné transfery</v>
      </c>
      <c r="M41" s="120">
        <v>1</v>
      </c>
      <c r="N41" s="161" t="str">
        <f>+L41</f>
        <v>a - wushu - bežné transfery</v>
      </c>
      <c r="O41" s="120">
        <v>2</v>
      </c>
      <c r="P41" s="161" t="str">
        <f>+L41</f>
        <v>a - wushu - bežné transfery</v>
      </c>
      <c r="Q41" s="120">
        <v>3</v>
      </c>
      <c r="R41" s="161" t="str">
        <f>+L41</f>
        <v>a - wushu - bežné transfery</v>
      </c>
      <c r="S41" s="120">
        <v>4</v>
      </c>
      <c r="T41" s="161" t="str">
        <f>+L41</f>
        <v>a - wushu - bežné transfery</v>
      </c>
      <c r="U41" s="120">
        <v>5</v>
      </c>
    </row>
    <row r="42" spans="1:21" ht="10.5" customHeight="1" x14ac:dyDescent="0.2">
      <c r="A42" s="115" t="s">
        <v>338</v>
      </c>
      <c r="B42" s="116" t="s">
        <v>380</v>
      </c>
      <c r="C42" s="73">
        <f>+C40</f>
        <v>0</v>
      </c>
      <c r="D42" s="216">
        <f>+D40</f>
        <v>300</v>
      </c>
      <c r="E42" s="216">
        <f>+E40</f>
        <v>24372.590000000004</v>
      </c>
      <c r="F42" s="216">
        <f>+MIN(F39:F40)</f>
        <v>260</v>
      </c>
      <c r="G42" s="216">
        <f>+MIN(G39+MAX(F39-F40,0)-MAX(E40-E39,0)-MAX(D40-D39,0)-MAX(C40-C39,0),G40)</f>
        <v>0</v>
      </c>
      <c r="H42" s="216">
        <f>+MIN(H39:H40)</f>
        <v>0</v>
      </c>
      <c r="I42" s="73">
        <f>+C42+D42+E42+MIN(F39:F40)+G42+H42</f>
        <v>24932.590000000004</v>
      </c>
      <c r="J42" s="219">
        <f>+K47</f>
        <v>0</v>
      </c>
      <c r="K42" s="219">
        <f>+I42-H42</f>
        <v>24932.590000000004</v>
      </c>
      <c r="L42" s="161" t="str">
        <f>+SUBSTITUTE(L41,"bežné","kapitálové")</f>
        <v>a - wushu - kapitálové transfery</v>
      </c>
      <c r="M42" s="120">
        <v>1</v>
      </c>
      <c r="N42" s="161" t="str">
        <f>+L42</f>
        <v>a - wushu - kapitálové transfery</v>
      </c>
      <c r="O42" s="120">
        <v>2</v>
      </c>
      <c r="P42" s="161" t="str">
        <f>+L42</f>
        <v>a - wushu - kapitálové transfery</v>
      </c>
      <c r="Q42" s="120">
        <v>3</v>
      </c>
      <c r="R42" s="161" t="str">
        <f>+L42</f>
        <v>a - wushu - kapitálové transfery</v>
      </c>
      <c r="S42" s="120">
        <v>4</v>
      </c>
      <c r="T42" s="161" t="str">
        <f>+L42</f>
        <v>a - wushu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7"/>
      <c r="B50" s="358"/>
      <c r="C50" s="358"/>
      <c r="D50" s="358"/>
      <c r="E50" s="358"/>
      <c r="F50" s="358"/>
      <c r="G50" s="358"/>
      <c r="H50" s="358"/>
      <c r="I50" s="358"/>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wushu - bežné transfery</v>
      </c>
      <c r="C53" s="73">
        <f>IF(A53&lt;&gt;"",INDEX(FP!D:D,Doklady!B$2+(ROW()-53)),"")</f>
        <v>24934</v>
      </c>
      <c r="D53" s="73">
        <f>IF(A53&lt;&gt;"",Doklady!I1-Doklady!J1,"")</f>
        <v>24932.590000000004</v>
      </c>
      <c r="E53" s="73">
        <f>IF(A53&lt;&gt;"",MIN(D53,C53)*Doklady!C1/(1-Doklady!C1),"")</f>
        <v>0</v>
      </c>
      <c r="F53" s="71">
        <f>IF(A53&lt;&gt;"",Doklady!J1,"")</f>
        <v>0</v>
      </c>
      <c r="G53" s="73">
        <f>+IFERROR(HLOOKUP(IF(RIGHT(B53,15)="bežné transfery",LEFT(B53,LEN(B53)-18),0),$J$40:$K$42,3,0),MIN(C53,D53))</f>
        <v>24932.590000000004</v>
      </c>
      <c r="H53" s="71"/>
      <c r="I53" s="73">
        <f>IF(A53&lt;&gt;"",MAX(IF(G53&lt;C53,C53-G53,0)+IF(F53&lt;E53,E53-F53,0),0),0)</f>
        <v>1.4099999999962165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24934</v>
      </c>
      <c r="D130" s="228">
        <f t="shared" ref="D130:I130" si="9">SUM(D53:D129)</f>
        <v>24932.590000000004</v>
      </c>
      <c r="E130" s="228">
        <f t="shared" si="9"/>
        <v>0</v>
      </c>
      <c r="F130" s="228">
        <f t="shared" si="9"/>
        <v>0</v>
      </c>
      <c r="G130" s="228">
        <f t="shared" si="9"/>
        <v>24932.590000000004</v>
      </c>
      <c r="H130" s="228">
        <f t="shared" si="9"/>
        <v>0</v>
      </c>
      <c r="I130" s="228">
        <f t="shared" si="9"/>
        <v>1.4099999999962165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70"/>
      <c r="E140" s="370"/>
      <c r="F140" s="370"/>
      <c r="G140" s="370"/>
      <c r="H140" s="370"/>
      <c r="I140" s="370"/>
      <c r="J140" s="85"/>
    </row>
    <row r="141" spans="1:26" ht="68.25" customHeight="1" x14ac:dyDescent="0.25">
      <c r="A141" s="9"/>
      <c r="B141" s="283" t="s">
        <v>397</v>
      </c>
      <c r="C141" s="214"/>
      <c r="D141" s="354" t="s">
        <v>398</v>
      </c>
      <c r="E141" s="354"/>
      <c r="F141" s="354"/>
      <c r="G141" s="354"/>
      <c r="H141" s="354"/>
      <c r="I141" s="35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23" zoomScaleNormal="100" workbookViewId="0">
      <selection activeCell="G130" sqref="G13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wushu - bežné transfery</v>
      </c>
      <c r="B1" s="232" t="str">
        <f>INDEX(Adr!A:A,B102+1)</f>
        <v>42019541</v>
      </c>
      <c r="C1" s="233">
        <f>IF(ROW()&lt;=B$3,INDEX(FP!E:E,B$2+ROW()-1),"")</f>
        <v>0</v>
      </c>
      <c r="D1" s="234" t="str">
        <f>IF(ROW()&lt;=B$3,INDEX(FP!F:F,B$2+ROW()-1),"")</f>
        <v>a</v>
      </c>
      <c r="E1" s="234"/>
      <c r="F1" s="234" t="str">
        <f>IF(ROW()&lt;=B$3,INDEX(FP!G:G,B$2+ROW()-1),"")</f>
        <v>026 02</v>
      </c>
      <c r="G1" s="234"/>
      <c r="H1" s="235" t="str">
        <f>IF(ROW()&lt;=B$3,INDEX(FP!C:C,B$2+ROW()-1),"")</f>
        <v>wushu - bežné transfery</v>
      </c>
      <c r="I1" s="236">
        <f t="shared" ref="I1:I6" si="0">IF(ROW()&lt;=B$3,SUMIF(A$107:A$10042,A1,I$107:I$10042),"")</f>
        <v>24932.590000000004</v>
      </c>
      <c r="J1" s="236">
        <f t="shared" ref="J1:J32" si="1">IF(ROW()&lt;=B$3,SUMIFS(I$103:I$50042,A$103:A$50042,K1,J$103:J$50042,L1),"")</f>
        <v>0</v>
      </c>
      <c r="K1" s="110" t="str">
        <f>$A1</f>
        <v>a - wushu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17" t="s">
        <v>1505</v>
      </c>
      <c r="B100" s="317"/>
      <c r="C100" s="317"/>
      <c r="D100" s="317"/>
      <c r="E100" s="317"/>
      <c r="F100" s="317"/>
      <c r="G100" s="317"/>
      <c r="H100" s="317"/>
      <c r="I100" s="319" t="s">
        <v>1488</v>
      </c>
      <c r="J100" s="319"/>
      <c r="K100" s="89"/>
    </row>
    <row r="101" spans="1:25" ht="15.6" x14ac:dyDescent="0.3">
      <c r="A101" s="320"/>
      <c r="B101" s="320"/>
      <c r="C101" s="320"/>
      <c r="D101" s="320"/>
      <c r="E101" s="320"/>
      <c r="F101" s="320"/>
      <c r="G101" s="320"/>
      <c r="H101" s="320"/>
      <c r="I101" s="318">
        <v>45887</v>
      </c>
      <c r="J101" s="318"/>
    </row>
    <row r="102" spans="1:25" ht="13.8" x14ac:dyDescent="0.25">
      <c r="A102" s="249" t="s">
        <v>403</v>
      </c>
      <c r="B102" s="250">
        <v>3</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1" t="s">
        <v>412</v>
      </c>
      <c r="B105" s="322"/>
      <c r="C105" s="322"/>
      <c r="D105" s="322"/>
      <c r="E105" s="322"/>
      <c r="F105" s="322"/>
      <c r="G105" s="322"/>
      <c r="H105" s="322"/>
      <c r="I105" s="322"/>
      <c r="J105" s="323"/>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1506</v>
      </c>
      <c r="B107" s="314"/>
      <c r="C107" s="314"/>
      <c r="D107" s="315"/>
      <c r="E107" s="315"/>
      <c r="F107" s="314" t="s">
        <v>1507</v>
      </c>
      <c r="G107" s="314"/>
      <c r="H107" s="314"/>
      <c r="I107" s="316"/>
      <c r="J107" s="77">
        <v>3</v>
      </c>
      <c r="K107" s="92"/>
    </row>
    <row r="108" spans="1:25" ht="20.399999999999999" x14ac:dyDescent="0.25">
      <c r="A108" s="14" t="s">
        <v>1506</v>
      </c>
      <c r="B108" s="314" t="s">
        <v>1511</v>
      </c>
      <c r="C108" s="314">
        <v>9125289386</v>
      </c>
      <c r="D108" s="315">
        <v>45755</v>
      </c>
      <c r="E108" s="315"/>
      <c r="F108" s="314" t="s">
        <v>1514</v>
      </c>
      <c r="G108" s="314">
        <v>35897821</v>
      </c>
      <c r="H108" s="314" t="s">
        <v>1513</v>
      </c>
      <c r="I108" s="316">
        <v>33</v>
      </c>
      <c r="J108" s="77">
        <v>3</v>
      </c>
      <c r="K108" s="92"/>
    </row>
    <row r="109" spans="1:25" ht="40.799999999999997" x14ac:dyDescent="0.25">
      <c r="A109" s="14" t="s">
        <v>1506</v>
      </c>
      <c r="B109" s="314" t="s">
        <v>1512</v>
      </c>
      <c r="C109" s="314" t="s">
        <v>1508</v>
      </c>
      <c r="D109" s="315">
        <v>45764</v>
      </c>
      <c r="E109" s="315"/>
      <c r="F109" s="314" t="s">
        <v>1509</v>
      </c>
      <c r="G109" s="314"/>
      <c r="H109" s="314" t="s">
        <v>1510</v>
      </c>
      <c r="I109" s="316">
        <v>3720</v>
      </c>
      <c r="J109" s="77">
        <v>3</v>
      </c>
      <c r="K109" s="92"/>
    </row>
    <row r="110" spans="1:25" ht="30.6" x14ac:dyDescent="0.25">
      <c r="A110" s="14" t="s">
        <v>1506</v>
      </c>
      <c r="B110" s="314"/>
      <c r="C110" s="314"/>
      <c r="D110" s="315"/>
      <c r="E110" s="315"/>
      <c r="F110" s="314" t="s">
        <v>1515</v>
      </c>
      <c r="G110" s="314"/>
      <c r="H110" s="314"/>
      <c r="I110" s="316"/>
      <c r="J110" s="77">
        <v>3</v>
      </c>
      <c r="K110" s="92"/>
    </row>
    <row r="111" spans="1:25" ht="20.399999999999999" x14ac:dyDescent="0.25">
      <c r="A111" s="14" t="s">
        <v>1506</v>
      </c>
      <c r="B111" s="314" t="s">
        <v>1536</v>
      </c>
      <c r="C111" s="314" t="s">
        <v>1516</v>
      </c>
      <c r="D111" s="315">
        <v>45772</v>
      </c>
      <c r="E111" s="315">
        <v>45772</v>
      </c>
      <c r="F111" s="314" t="s">
        <v>1517</v>
      </c>
      <c r="G111" s="314">
        <v>35819081</v>
      </c>
      <c r="H111" s="314" t="s">
        <v>1518</v>
      </c>
      <c r="I111" s="316">
        <v>105.45</v>
      </c>
      <c r="J111" s="77">
        <v>3</v>
      </c>
      <c r="K111" s="92"/>
    </row>
    <row r="112" spans="1:25" ht="20.399999999999999" x14ac:dyDescent="0.25">
      <c r="A112" s="14" t="s">
        <v>1506</v>
      </c>
      <c r="B112" s="314" t="s">
        <v>1519</v>
      </c>
      <c r="C112" s="314" t="s">
        <v>1519</v>
      </c>
      <c r="D112" s="315">
        <v>45786</v>
      </c>
      <c r="E112" s="315">
        <v>45787</v>
      </c>
      <c r="F112" s="314" t="s">
        <v>1520</v>
      </c>
      <c r="G112" s="314">
        <v>17322057</v>
      </c>
      <c r="H112" s="314" t="s">
        <v>1521</v>
      </c>
      <c r="I112" s="316">
        <v>118.81</v>
      </c>
      <c r="J112" s="77">
        <v>3</v>
      </c>
      <c r="K112" s="92"/>
    </row>
    <row r="113" spans="1:11" ht="13.2" x14ac:dyDescent="0.25">
      <c r="A113" s="14" t="s">
        <v>1506</v>
      </c>
      <c r="B113" s="314" t="s">
        <v>1537</v>
      </c>
      <c r="C113" s="314">
        <v>5411061496</v>
      </c>
      <c r="D113" s="315">
        <v>45794</v>
      </c>
      <c r="E113" s="315"/>
      <c r="F113" s="314" t="s">
        <v>1523</v>
      </c>
      <c r="G113" s="314">
        <v>36562939</v>
      </c>
      <c r="H113" s="314" t="s">
        <v>1524</v>
      </c>
      <c r="I113" s="316">
        <v>59.65</v>
      </c>
      <c r="J113" s="77">
        <v>3</v>
      </c>
      <c r="K113" s="92"/>
    </row>
    <row r="114" spans="1:11" ht="30.6" x14ac:dyDescent="0.25">
      <c r="A114" s="14" t="s">
        <v>1506</v>
      </c>
      <c r="B114" s="314" t="s">
        <v>1538</v>
      </c>
      <c r="C114" s="314" t="s">
        <v>1522</v>
      </c>
      <c r="D114" s="315">
        <v>45799</v>
      </c>
      <c r="E114" s="315">
        <v>45801</v>
      </c>
      <c r="F114" s="314" t="s">
        <v>1525</v>
      </c>
      <c r="G114" s="314">
        <v>36250643</v>
      </c>
      <c r="H114" s="314" t="s">
        <v>1526</v>
      </c>
      <c r="I114" s="316">
        <v>83.95</v>
      </c>
      <c r="J114" s="77">
        <v>3</v>
      </c>
      <c r="K114" s="92"/>
    </row>
    <row r="115" spans="1:11" ht="13.2" x14ac:dyDescent="0.25">
      <c r="A115" s="14" t="s">
        <v>1506</v>
      </c>
      <c r="B115" s="314" t="s">
        <v>1539</v>
      </c>
      <c r="C115" s="314">
        <v>2025012</v>
      </c>
      <c r="D115" s="315">
        <v>45810</v>
      </c>
      <c r="E115" s="315"/>
      <c r="F115" s="314" t="s">
        <v>1527</v>
      </c>
      <c r="G115" s="314">
        <v>44671792</v>
      </c>
      <c r="H115" s="314" t="s">
        <v>1528</v>
      </c>
      <c r="I115" s="316">
        <v>700</v>
      </c>
      <c r="J115" s="77">
        <v>3</v>
      </c>
      <c r="K115" s="92"/>
    </row>
    <row r="116" spans="1:11" ht="20.399999999999999" x14ac:dyDescent="0.25">
      <c r="A116" s="14" t="s">
        <v>1506</v>
      </c>
      <c r="B116" s="314" t="s">
        <v>1540</v>
      </c>
      <c r="C116" s="314">
        <v>10250232</v>
      </c>
      <c r="D116" s="315">
        <v>45813</v>
      </c>
      <c r="E116" s="315"/>
      <c r="F116" s="314" t="s">
        <v>1529</v>
      </c>
      <c r="G116" s="314">
        <v>35862289</v>
      </c>
      <c r="H116" s="314" t="s">
        <v>1530</v>
      </c>
      <c r="I116" s="316">
        <v>373</v>
      </c>
      <c r="J116" s="77">
        <v>3</v>
      </c>
      <c r="K116" s="92"/>
    </row>
    <row r="117" spans="1:11" ht="40.799999999999997" x14ac:dyDescent="0.25">
      <c r="A117" s="14" t="s">
        <v>1506</v>
      </c>
      <c r="B117" s="314" t="s">
        <v>1541</v>
      </c>
      <c r="C117" s="314">
        <v>2025070</v>
      </c>
      <c r="D117" s="315">
        <v>45816</v>
      </c>
      <c r="E117" s="315"/>
      <c r="F117" s="314" t="s">
        <v>1531</v>
      </c>
      <c r="G117" s="314">
        <v>35935847</v>
      </c>
      <c r="H117" s="314" t="s">
        <v>1532</v>
      </c>
      <c r="I117" s="316">
        <v>886.83</v>
      </c>
      <c r="J117" s="77">
        <v>3</v>
      </c>
      <c r="K117" s="92"/>
    </row>
    <row r="118" spans="1:11" ht="20.399999999999999" x14ac:dyDescent="0.25">
      <c r="A118" s="14" t="s">
        <v>1506</v>
      </c>
      <c r="B118" s="314" t="s">
        <v>1542</v>
      </c>
      <c r="C118" s="314" t="s">
        <v>1533</v>
      </c>
      <c r="D118" s="315">
        <v>45832</v>
      </c>
      <c r="E118" s="315"/>
      <c r="F118" s="314" t="s">
        <v>1534</v>
      </c>
      <c r="G118" s="314">
        <v>51450771</v>
      </c>
      <c r="H118" s="314" t="s">
        <v>1535</v>
      </c>
      <c r="I118" s="316">
        <v>250</v>
      </c>
      <c r="J118" s="77">
        <v>3</v>
      </c>
      <c r="K118" s="92"/>
    </row>
    <row r="119" spans="1:11" ht="40.799999999999997" x14ac:dyDescent="0.25">
      <c r="A119" s="14" t="s">
        <v>1506</v>
      </c>
      <c r="B119" s="314"/>
      <c r="C119" s="314"/>
      <c r="D119" s="315"/>
      <c r="E119" s="315"/>
      <c r="F119" s="314" t="s">
        <v>1554</v>
      </c>
      <c r="G119" s="314"/>
      <c r="H119" s="314"/>
      <c r="I119" s="316"/>
      <c r="J119" s="77">
        <v>3</v>
      </c>
      <c r="K119" s="92"/>
    </row>
    <row r="120" spans="1:11" ht="20.399999999999999" x14ac:dyDescent="0.25">
      <c r="A120" s="14" t="s">
        <v>1506</v>
      </c>
      <c r="B120" s="314" t="s">
        <v>1543</v>
      </c>
      <c r="C120" s="314" t="s">
        <v>1544</v>
      </c>
      <c r="D120" s="315">
        <v>45845</v>
      </c>
      <c r="E120" s="315"/>
      <c r="F120" s="314" t="s">
        <v>1545</v>
      </c>
      <c r="G120" s="314">
        <v>35897821</v>
      </c>
      <c r="H120" s="314" t="s">
        <v>1513</v>
      </c>
      <c r="I120" s="316">
        <v>2909.92</v>
      </c>
      <c r="J120" s="77">
        <v>3</v>
      </c>
      <c r="K120" s="92"/>
    </row>
    <row r="121" spans="1:11" ht="30.6" x14ac:dyDescent="0.25">
      <c r="A121" s="14" t="s">
        <v>1506</v>
      </c>
      <c r="B121" s="314" t="s">
        <v>1546</v>
      </c>
      <c r="C121" s="314">
        <v>20251001</v>
      </c>
      <c r="D121" s="315">
        <v>45849</v>
      </c>
      <c r="E121" s="315"/>
      <c r="F121" s="314" t="s">
        <v>1547</v>
      </c>
      <c r="G121" s="314"/>
      <c r="H121" s="314" t="s">
        <v>1548</v>
      </c>
      <c r="I121" s="316">
        <v>1736.66</v>
      </c>
      <c r="J121" s="77">
        <v>3</v>
      </c>
      <c r="K121" s="92"/>
    </row>
    <row r="122" spans="1:11" ht="30.6" x14ac:dyDescent="0.25">
      <c r="A122" s="14" t="s">
        <v>1506</v>
      </c>
      <c r="B122" s="314" t="s">
        <v>1549</v>
      </c>
      <c r="C122" s="314" t="s">
        <v>1550</v>
      </c>
      <c r="D122" s="315">
        <v>45897</v>
      </c>
      <c r="E122" s="315">
        <v>45899</v>
      </c>
      <c r="F122" s="314" t="s">
        <v>1551</v>
      </c>
      <c r="G122" s="314">
        <v>53812948</v>
      </c>
      <c r="H122" s="314" t="s">
        <v>1552</v>
      </c>
      <c r="I122" s="316">
        <v>90.77</v>
      </c>
      <c r="J122" s="77">
        <v>3</v>
      </c>
      <c r="K122" s="92"/>
    </row>
    <row r="123" spans="1:11" ht="51" x14ac:dyDescent="0.25">
      <c r="A123" s="14" t="s">
        <v>1506</v>
      </c>
      <c r="B123" s="314"/>
      <c r="C123" s="314"/>
      <c r="D123" s="315"/>
      <c r="E123" s="315"/>
      <c r="F123" s="314" t="s">
        <v>1553</v>
      </c>
      <c r="G123" s="314"/>
      <c r="H123" s="314"/>
      <c r="I123" s="316"/>
      <c r="J123" s="77">
        <v>3</v>
      </c>
      <c r="K123" s="92"/>
    </row>
    <row r="124" spans="1:11" ht="20.399999999999999" x14ac:dyDescent="0.25">
      <c r="A124" s="14" t="s">
        <v>1506</v>
      </c>
      <c r="B124" s="314" t="s">
        <v>1555</v>
      </c>
      <c r="C124" s="314">
        <v>9125594787</v>
      </c>
      <c r="D124" s="315">
        <v>45861</v>
      </c>
      <c r="E124" s="315"/>
      <c r="F124" s="314" t="s">
        <v>1556</v>
      </c>
      <c r="G124" s="314">
        <v>35897821</v>
      </c>
      <c r="H124" s="314" t="s">
        <v>1513</v>
      </c>
      <c r="I124" s="316">
        <v>8412.48</v>
      </c>
      <c r="J124" s="77">
        <v>3</v>
      </c>
      <c r="K124" s="92"/>
    </row>
    <row r="125" spans="1:11" ht="20.399999999999999" x14ac:dyDescent="0.25">
      <c r="A125" s="14" t="s">
        <v>1506</v>
      </c>
      <c r="B125" s="314" t="s">
        <v>1557</v>
      </c>
      <c r="C125" s="314" t="s">
        <v>1558</v>
      </c>
      <c r="D125" s="315">
        <v>45916</v>
      </c>
      <c r="E125" s="315"/>
      <c r="F125" s="314" t="s">
        <v>1561</v>
      </c>
      <c r="G125" s="314">
        <v>45899991</v>
      </c>
      <c r="H125" s="314" t="s">
        <v>1562</v>
      </c>
      <c r="I125" s="316">
        <v>100</v>
      </c>
      <c r="J125" s="77">
        <v>3</v>
      </c>
      <c r="K125" s="92"/>
    </row>
    <row r="126" spans="1:11" ht="20.399999999999999" x14ac:dyDescent="0.25">
      <c r="A126" s="14" t="s">
        <v>1506</v>
      </c>
      <c r="B126" s="314" t="s">
        <v>1559</v>
      </c>
      <c r="C126" s="314" t="s">
        <v>1560</v>
      </c>
      <c r="D126" s="315">
        <v>45920</v>
      </c>
      <c r="E126" s="315"/>
      <c r="F126" s="314" t="s">
        <v>1563</v>
      </c>
      <c r="G126" s="314"/>
      <c r="H126" s="314" t="s">
        <v>1564</v>
      </c>
      <c r="I126" s="316">
        <v>3702.47</v>
      </c>
      <c r="J126" s="77">
        <v>3</v>
      </c>
      <c r="K126" s="92"/>
    </row>
    <row r="127" spans="1:11" ht="30.6" x14ac:dyDescent="0.25">
      <c r="A127" s="14" t="s">
        <v>1506</v>
      </c>
      <c r="B127" s="314" t="s">
        <v>1565</v>
      </c>
      <c r="C127" s="314" t="s">
        <v>1560</v>
      </c>
      <c r="D127" s="315">
        <v>45925</v>
      </c>
      <c r="E127" s="315"/>
      <c r="F127" s="314" t="s">
        <v>1566</v>
      </c>
      <c r="G127" s="314"/>
      <c r="H127" s="314" t="s">
        <v>1564</v>
      </c>
      <c r="I127" s="316">
        <v>655.63</v>
      </c>
      <c r="J127" s="77">
        <v>3</v>
      </c>
      <c r="K127" s="92"/>
    </row>
    <row r="128" spans="1:11" ht="20.399999999999999" x14ac:dyDescent="0.25">
      <c r="A128" s="14" t="s">
        <v>1506</v>
      </c>
      <c r="B128" s="314" t="s">
        <v>1567</v>
      </c>
      <c r="C128" s="314">
        <v>202504042</v>
      </c>
      <c r="D128" s="315">
        <v>45783</v>
      </c>
      <c r="E128" s="315"/>
      <c r="F128" s="314" t="s">
        <v>1568</v>
      </c>
      <c r="G128" s="314">
        <v>34147811</v>
      </c>
      <c r="H128" s="314" t="s">
        <v>1569</v>
      </c>
      <c r="I128" s="316">
        <v>137.5</v>
      </c>
      <c r="J128" s="77">
        <v>2</v>
      </c>
      <c r="K128" s="92"/>
    </row>
    <row r="129" spans="1:11" ht="20.399999999999999" x14ac:dyDescent="0.25">
      <c r="A129" s="14" t="s">
        <v>1506</v>
      </c>
      <c r="B129" s="314" t="s">
        <v>1570</v>
      </c>
      <c r="C129" s="314" t="s">
        <v>1571</v>
      </c>
      <c r="D129" s="315">
        <v>45810</v>
      </c>
      <c r="E129" s="315"/>
      <c r="F129" s="314" t="s">
        <v>1568</v>
      </c>
      <c r="G129" s="314">
        <v>34147811</v>
      </c>
      <c r="H129" s="314" t="s">
        <v>1569</v>
      </c>
      <c r="I129" s="316">
        <v>162.5</v>
      </c>
      <c r="J129" s="77">
        <v>2</v>
      </c>
      <c r="K129" s="92"/>
    </row>
    <row r="130" spans="1:11" ht="20.399999999999999" x14ac:dyDescent="0.25">
      <c r="A130" s="14" t="s">
        <v>1506</v>
      </c>
      <c r="B130" s="314" t="s">
        <v>1572</v>
      </c>
      <c r="C130" s="314" t="s">
        <v>1573</v>
      </c>
      <c r="D130" s="315">
        <v>45788</v>
      </c>
      <c r="E130" s="315"/>
      <c r="F130" s="314" t="s">
        <v>1574</v>
      </c>
      <c r="G130" s="314">
        <v>55101046</v>
      </c>
      <c r="H130" s="314" t="s">
        <v>1575</v>
      </c>
      <c r="I130" s="316">
        <v>200</v>
      </c>
      <c r="J130" s="77">
        <v>4</v>
      </c>
      <c r="K130" s="92"/>
    </row>
    <row r="131" spans="1:11" ht="13.2" x14ac:dyDescent="0.25">
      <c r="A131" s="14" t="s">
        <v>1506</v>
      </c>
      <c r="B131" s="314" t="s">
        <v>1576</v>
      </c>
      <c r="C131" s="314" t="s">
        <v>1576</v>
      </c>
      <c r="D131" s="315">
        <v>45849</v>
      </c>
      <c r="E131" s="315"/>
      <c r="F131" s="314" t="s">
        <v>1577</v>
      </c>
      <c r="G131" s="314">
        <v>36869376</v>
      </c>
      <c r="H131" s="314" t="s">
        <v>1578</v>
      </c>
      <c r="I131" s="316">
        <v>20</v>
      </c>
      <c r="J131" s="77">
        <v>4</v>
      </c>
      <c r="K131" s="92"/>
    </row>
    <row r="132" spans="1:11" ht="13.2" x14ac:dyDescent="0.25">
      <c r="A132" s="14" t="s">
        <v>1506</v>
      </c>
      <c r="B132" s="314" t="s">
        <v>1579</v>
      </c>
      <c r="C132" s="314" t="s">
        <v>1579</v>
      </c>
      <c r="D132" s="315">
        <v>45920</v>
      </c>
      <c r="E132" s="315"/>
      <c r="F132" s="314" t="s">
        <v>1577</v>
      </c>
      <c r="G132" s="314"/>
      <c r="H132" s="314" t="s">
        <v>1578</v>
      </c>
      <c r="I132" s="316">
        <v>20</v>
      </c>
      <c r="J132" s="77">
        <v>4</v>
      </c>
      <c r="K132" s="92"/>
    </row>
    <row r="133" spans="1:11" ht="13.2" x14ac:dyDescent="0.25">
      <c r="A133" s="14" t="s">
        <v>1506</v>
      </c>
      <c r="B133" s="314" t="s">
        <v>1580</v>
      </c>
      <c r="C133" s="314" t="s">
        <v>1580</v>
      </c>
      <c r="D133" s="315">
        <v>45925</v>
      </c>
      <c r="E133" s="315"/>
      <c r="F133" s="314" t="s">
        <v>1577</v>
      </c>
      <c r="G133" s="314"/>
      <c r="H133" s="314" t="s">
        <v>1578</v>
      </c>
      <c r="I133" s="316">
        <v>20</v>
      </c>
      <c r="J133" s="77">
        <v>4</v>
      </c>
      <c r="K133" s="92"/>
    </row>
    <row r="134" spans="1:11" ht="30.6" x14ac:dyDescent="0.25">
      <c r="A134" s="14" t="s">
        <v>1506</v>
      </c>
      <c r="B134" s="314" t="s">
        <v>1581</v>
      </c>
      <c r="C134" s="314" t="s">
        <v>1582</v>
      </c>
      <c r="D134" s="315">
        <v>45786</v>
      </c>
      <c r="E134" s="315">
        <v>45801</v>
      </c>
      <c r="F134" s="314" t="s">
        <v>1590</v>
      </c>
      <c r="G134" s="314">
        <v>46101357</v>
      </c>
      <c r="H134" s="314" t="s">
        <v>1583</v>
      </c>
      <c r="I134" s="316">
        <v>141.44999999999999</v>
      </c>
      <c r="J134" s="77">
        <v>3</v>
      </c>
      <c r="K134" s="92"/>
    </row>
    <row r="135" spans="1:11" ht="30.6" x14ac:dyDescent="0.25">
      <c r="A135" s="14" t="s">
        <v>1506</v>
      </c>
      <c r="B135" s="314"/>
      <c r="C135" s="314"/>
      <c r="D135" s="315"/>
      <c r="E135" s="315"/>
      <c r="F135" s="314" t="s">
        <v>1588</v>
      </c>
      <c r="G135" s="314"/>
      <c r="H135" s="314"/>
      <c r="I135" s="316"/>
      <c r="J135" s="77">
        <v>3</v>
      </c>
      <c r="K135" s="92"/>
    </row>
    <row r="136" spans="1:11" ht="13.2" x14ac:dyDescent="0.25">
      <c r="A136" s="14" t="s">
        <v>1506</v>
      </c>
      <c r="B136" s="314" t="s">
        <v>1584</v>
      </c>
      <c r="C136" s="314">
        <v>20250934</v>
      </c>
      <c r="D136" s="315">
        <v>45987</v>
      </c>
      <c r="E136" s="315"/>
      <c r="F136" s="314" t="s">
        <v>1585</v>
      </c>
      <c r="G136" s="314">
        <v>34120866</v>
      </c>
      <c r="H136" s="314" t="s">
        <v>1586</v>
      </c>
      <c r="I136" s="316">
        <v>46.52</v>
      </c>
      <c r="J136" s="77">
        <v>3</v>
      </c>
      <c r="K136" s="92"/>
    </row>
    <row r="137" spans="1:11" ht="20.399999999999999" x14ac:dyDescent="0.25">
      <c r="A137" s="14" t="s">
        <v>1506</v>
      </c>
      <c r="B137" s="314" t="s">
        <v>1587</v>
      </c>
      <c r="C137" s="314">
        <v>202508</v>
      </c>
      <c r="D137" s="315">
        <v>45994</v>
      </c>
      <c r="E137" s="315"/>
      <c r="F137" s="314" t="s">
        <v>1589</v>
      </c>
      <c r="G137" s="314">
        <v>44671792</v>
      </c>
      <c r="H137" s="314" t="s">
        <v>1528</v>
      </c>
      <c r="I137" s="316">
        <v>246</v>
      </c>
      <c r="J137" s="77">
        <v>3</v>
      </c>
      <c r="K137" s="92"/>
    </row>
    <row r="138" spans="1:11" ht="13.2" x14ac:dyDescent="0.25">
      <c r="A138" s="14" t="s">
        <v>1506</v>
      </c>
      <c r="B138" s="314"/>
      <c r="C138" s="314"/>
      <c r="D138" s="315"/>
      <c r="E138" s="315"/>
      <c r="F138" s="314"/>
      <c r="G138" s="314"/>
      <c r="H138" s="314"/>
      <c r="I138" s="316"/>
      <c r="J138" s="77"/>
      <c r="K138" s="92"/>
    </row>
    <row r="139" spans="1:11" ht="13.2" x14ac:dyDescent="0.25">
      <c r="A139" s="14" t="s">
        <v>1506</v>
      </c>
      <c r="B139" s="314"/>
      <c r="C139" s="314"/>
      <c r="D139" s="315"/>
      <c r="E139" s="315"/>
      <c r="F139" s="314"/>
      <c r="G139" s="314"/>
      <c r="H139" s="314"/>
      <c r="I139" s="316"/>
      <c r="J139" s="77"/>
      <c r="K139" s="92"/>
    </row>
    <row r="140" spans="1:11" ht="13.2" x14ac:dyDescent="0.25">
      <c r="A140" s="14" t="s">
        <v>1506</v>
      </c>
      <c r="B140" s="314"/>
      <c r="C140" s="314"/>
      <c r="D140" s="315"/>
      <c r="E140" s="315"/>
      <c r="F140" s="314"/>
      <c r="G140" s="314"/>
      <c r="H140" s="314"/>
      <c r="I140" s="316"/>
      <c r="J140" s="77"/>
      <c r="K140" s="92"/>
    </row>
    <row r="141" spans="1:11" ht="13.2" x14ac:dyDescent="0.25">
      <c r="A141" s="14" t="s">
        <v>1506</v>
      </c>
      <c r="B141" s="314"/>
      <c r="C141" s="314"/>
      <c r="D141" s="315"/>
      <c r="E141" s="315"/>
      <c r="F141" s="314"/>
      <c r="G141" s="314"/>
      <c r="H141" s="314"/>
      <c r="I141" s="316"/>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6"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2" t="str">
        <f>Spolu!C3&amp;", "&amp;Spolu!C6</f>
        <v>Slovenská asociácia čínskeho wushu, Ladislava Dérera 35, Bratislava, 831 01</v>
      </c>
      <c r="B1" s="372"/>
      <c r="C1" s="372"/>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3" t="s">
        <v>1276</v>
      </c>
      <c r="F3" s="374"/>
      <c r="N3" s="137" t="str">
        <f t="shared" si="0"/>
        <v>c - príspevok Slovenskému paralympijskému výboru</v>
      </c>
      <c r="O3" s="137" t="s">
        <v>342</v>
      </c>
      <c r="P3" s="137" t="s">
        <v>343</v>
      </c>
    </row>
    <row r="4" spans="1:16" ht="45.75" customHeight="1" x14ac:dyDescent="0.25">
      <c r="E4" s="374"/>
      <c r="F4" s="374"/>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1" customHeight="1" thickBot="1" x14ac:dyDescent="0.3">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42019541</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1" t="s">
        <v>1303</v>
      </c>
      <c r="C22" s="37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6bdf28ae-65c4-4f6e-bc50-9bbd2c60ae30"/>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1761cb37-c33f-42c7-9eeb-6f00cca254d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lu bo</cp:lastModifiedBy>
  <cp:revision/>
  <cp:lastPrinted>2025-01-23T13:30:36Z</cp:lastPrinted>
  <dcterms:created xsi:type="dcterms:W3CDTF">2017-02-20T06:20:12Z</dcterms:created>
  <dcterms:modified xsi:type="dcterms:W3CDTF">2026-04-01T12:14:51Z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