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C:\Users\Juraj\Downloads\"/>
    </mc:Choice>
  </mc:AlternateContent>
  <xr:revisionPtr revIDLastSave="0" documentId="13_ncr:1_{8FBC458F-A997-4ACD-9291-C03897423284}" xr6:coauthVersionLast="36" xr6:coauthVersionMax="47" xr10:uidLastSave="{00000000-0000-0000-0000-000000000000}"/>
  <bookViews>
    <workbookView xWindow="0" yWindow="0" windowWidth="23040" windowHeight="8772"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2" i="4" l="1"/>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<sst xmlns="http://schemas.openxmlformats.org/spreadsheetml/2006/main" count="5128" uniqueCount="2405">
  <si>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</si>
  <si>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</si>
  <si>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</si>
  <si>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</si>
  <si>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</si>
  <si>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</si>
  <si>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</si>
  <si>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</si>
  <si>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</si>
  <si>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</si>
  <si>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</si>
  <si>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</si>
  <si>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</si>
  <si>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</si>
  <si>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</si>
  <si>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</si>
  <si>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</si>
  <si>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</si>
  <si>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</si>
  <si>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</si>
  <si>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</si>
  <si>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</si>
  <si>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</si>
  <si>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</si>
  <si>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</si>
  <si>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</si>
  <si>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</si>
  <si>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</si>
  <si>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</si>
  <si>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</si>
  <si>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</si>
  <si>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</si>
  <si>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</si>
  <si>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</si>
  <si>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</si>
  <si>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</si>
  <si>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</si>
  <si>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</si>
  <si>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</si>
  <si>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</si>
  <si>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</si>
  <si>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</si>
  <si>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</si>
  <si>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</si>
  <si>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</si>
  <si>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</si>
  <si>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</si>
  <si>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</si>
  <si>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</si>
  <si>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</si>
  <si>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</si>
  <si>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</si>
  <si>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</si>
  <si>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</si>
  <si>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</si>
  <si>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</si>
  <si>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</si>
  <si>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</si>
  <si>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</si>
  <si>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</si>
  <si>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</si>
  <si>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</si>
  <si>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</si>
  <si>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</si>
  <si>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</si>
  <si>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</si>
  <si>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</si>
  <si>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</si>
  <si>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</si>
  <si>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</si>
  <si>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</si>
  <si>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</si>
  <si>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</si>
  <si>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</si>
  <si>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</si>
  <si>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</si>
  <si>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</si>
  <si>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</si>
  <si>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</si>
  <si>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</si>
  <si>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</si>
  <si>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</si>
  <si>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</si>
  <si>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</si>
  <si>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</si>
  <si>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</si>
  <si>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</si>
  <si>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</si>
  <si>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</si>
  <si>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</si>
  <si>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</si>
  <si>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</si>
  <si>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</si>
  <si>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</si>
  <si>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</si>
  <si>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</si>
  <si>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</si>
  <si>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</si>
  <si>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</si>
  <si>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</si>
  <si>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</si>
  <si>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</si>
  <si>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</si>
  <si>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</si>
  <si>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</si>
  <si>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</si>
  <si>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</si>
  <si>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</si>
  <si>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</si>
  <si>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</si>
  <si>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</si>
  <si>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</si>
  <si>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</si>
  <si>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</si>
  <si>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</si>
  <si>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</si>
  <si>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</si>
  <si>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</si>
  <si>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</si>
  <si>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</si>
  <si>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</si>
  <si>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</si>
  <si>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</si>
  <si>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</si>
  <si>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</si>
  <si>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</si>
  <si>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</si>
  <si>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</si>
  <si>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</si>
  <si>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</si>
  <si>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</si>
  <si>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</si>
  <si>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</si>
  <si>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</si>
  <si>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</si>
  <si>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</si>
  <si>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</si>
  <si>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</si>
  <si>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</si>
  <si>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</si>
  <si>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</si>
  <si>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</si>
  <si>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</si>
  <si>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</si>
  <si>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</si>
  <si>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</si>
  <si>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</si>
  <si>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</si>
  <si>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</si>
  <si>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</si>
  <si>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</si>
  <si>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</si>
  <si>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</si>
  <si>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</si>
  <si>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</si>
  <si>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</si>
  <si>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</si>
  <si>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</si>
  <si>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</si>
  <si>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</si>
  <si>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</si>
  <si>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</si>
  <si>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</si>
  <si>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</si>
  <si>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</si>
  <si>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</si>
  <si>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</si>
  <si>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</si>
  <si>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</si>
  <si>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</si>
  <si>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</si>
  <si>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</si>
  <si>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</si>
  <si>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</si>
  <si>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</si>
  <si>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</si>
  <si>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</si>
  <si>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</si>
  <si>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</si>
  <si>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</si>
  <si>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</si>
  <si>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</si>
  <si>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</si>
  <si>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</si>
  <si>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</si>
  <si>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</si>
  <si>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</si>
  <si>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</si>
  <si>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</si>
  <si>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</si>
  <si>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</si>
  <si>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</si>
  <si>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</si>
  <si>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</si>
  <si>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</si>
  <si>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</si>
  <si>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</si>
  <si>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</si>
  <si>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</si>
  <si>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</si>
  <si>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</si>
  <si>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</si>
  <si>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</si>
  <si>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</si>
  <si>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</si>
  <si>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</si>
  <si>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</si>
  <si>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</si>
  <si>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</si>
  <si>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</si>
  <si>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</si>
  <si>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</si>
  <si>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</si>
  <si>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</si>
  <si>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</si>
  <si>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</si>
  <si>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</si>
  <si>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</si>
  <si>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</si>
  <si>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</si>
  <si>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</si>
  <si>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</si>
  <si>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</si>
  <si>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</si>
  <si>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</si>
  <si>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</si>
  <si>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</si>
  <si>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</si>
  <si>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</si>
  <si>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</si>
  <si>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</si>
  <si>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</si>
  <si>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</si>
  <si>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</si>
  <si>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</si>
  <si>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</si>
  <si>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</si>
  <si>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</si>
  <si>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</si>
  <si>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</si>
  <si>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</si>
  <si>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</si>
  <si>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</si>
  <si>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</si>
  <si>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</si>
  <si>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</si>
  <si>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</si>
  <si>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</si>
  <si>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</si>
  <si>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</si>
  <si>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</si>
  <si>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</si>
  <si>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</si>
  <si>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</si>
  <si>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</si>
  <si>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</si>
  <si>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</si>
  <si>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</si>
  <si>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</si>
  <si>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</si>
  <si>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</si>
  <si>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</si>
  <si>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</si>
  <si>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</si>
  <si>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</si>
  <si>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</si>
  <si>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</si>
  <si>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</si>
  <si>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</si>
  <si>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</si>
  <si>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</si>
  <si>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</si>
  <si>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</si>
  <si>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</si>
  <si>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</si>
  <si>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</si>
  <si>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</si>
  <si>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</si>
  <si>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</si>
  <si>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</si>
  <si>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</si>
  <si>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</si>
  <si>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</si>
  <si>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</si>
  <si>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</si>
  <si>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</si>
  <si>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</si>
  <si>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</si>
  <si>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</si>
  <si>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</si>
  <si>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</si>
  <si>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</si>
  <si>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</si>
  <si>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</si>
  <si>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</si>
  <si>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</si>
  <si>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</si>
  <si>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</si>
  <si>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</si>
  <si>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</si>
  <si>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</si>
  <si>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</si>
  <si>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</si>
  <si>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</si>
  <si>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</si>
  <si>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</si>
  <si>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</si>
  <si>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</si>
  <si>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</si>
  <si>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</si>
  <si>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</si>
  <si>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</si>
  <si>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</si>
  <si>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</si>
  <si>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</si>
  <si>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</si>
  <si>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</si>
  <si>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</si>
  <si>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</si>
  <si>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</si>
  <si>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</si>
  <si>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</si>
  <si>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</si>
  <si>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</si>
  <si>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</si>
  <si>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</si>
  <si>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</si>
  <si>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</si>
  <si>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</si>
  <si>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</si>
  <si>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</si>
  <si>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</si>
  <si>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</si>
  <si>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</si>
  <si>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</si>
  <si>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</si>
  <si>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</si>
  <si>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</si>
  <si>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</si>
  <si>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</si>
  <si>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</si>
  <si>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</si>
  <si>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</si>
  <si>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</si>
  <si>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</si>
  <si>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</si>
  <si>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</si>
  <si>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</si>
  <si>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</si>
  <si>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</si>
  <si>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</si>
  <si>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</si>
  <si>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</si>
  <si>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</si>
  <si>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</si>
  <si>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</si>
  <si>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</si>
  <si>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</si>
  <si>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</si>
  <si>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</si>
  <si>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</si>
  <si>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</si>
  <si>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</si>
  <si>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</si>
  <si>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</si>
  <si>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</si>
  <si>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</si>
  <si>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</si>
  <si>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</si>
  <si>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</si>
  <si>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</si>
  <si>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</si>
  <si>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</si>
  <si>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</si>
  <si>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</si>
  <si>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</si>
  <si>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</si>
  <si>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</si>
  <si>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</si>
  <si>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</si>
  <si>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</si>
  <si>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</si>
  <si>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</si>
  <si>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</si>
  <si>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</si>
  <si>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</si>
  <si>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</si>
  <si>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</si>
  <si>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</si>
  <si>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</si>
  <si>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</si>
  <si>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</si>
  <si>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</si>
  <si>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</si>
  <si>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</si>
  <si>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</si>
  <si>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</si>
  <si>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</si>
  <si>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</si>
  <si>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</si>
  <si>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</si>
  <si>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</si>
  <si>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</si>
  <si>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</si>
  <si>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</si>
  <si>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</si>
  <si>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</si>
  <si>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</si>
  <si>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</si>
  <si>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</si>
  <si>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</si>
  <si>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</si>
  <si>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</si>
  <si>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</si>
  <si>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</si>
  <si>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</si>
  <si>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</si>
  <si>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</si>
  <si>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</si>
  <si>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</si>
  <si>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</si>
  <si>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</si>
  <si>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</si>
  <si>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</si>
  <si>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</si>
  <si>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</si>
  <si>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</si>
  <si>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</si>
  <si>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</si>
  <si>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</si>
  <si>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</si>
  <si>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</si>
  <si>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</si>
  <si>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</si>
  <si>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</si>
  <si>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</si>
  <si>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</si>
  <si>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</si>
  <si>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</si>
  <si>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</si>
  <si>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</si>
  <si>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</si>
  <si>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</si>
  <si>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</si>
  <si>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</si>
  <si>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</si>
  <si>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</si>
  <si>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</si>
  <si>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</si>
  <si>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</si>
  <si>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</si>
  <si>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</si>
  <si>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</si>
  <si>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</si>
  <si>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</si>
  <si>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</si>
  <si>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</si>
  <si>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</si>
  <si>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</si>
  <si>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</si>
  <si>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</si>
  <si>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</si>
  <si>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</si>
  <si>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</si>
  <si>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</si>
  <si>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</si>
  <si>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</si>
  <si>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</si>
  <si>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</si>
  <si>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</si>
  <si>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</si>
  <si>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</si>
  <si>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</si>
  <si>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</si>
  <si>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</si>
  <si>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</si>
  <si>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</si>
  <si>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</si>
  <si>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</si>
  <si>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</si>
  <si>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</si>
  <si>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</si>
  <si>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</si>
  <si>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</si>
  <si>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</si>
  <si>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</si>
  <si>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</si>
  <si>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</si>
  <si>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</si>
  <si>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</si>
  <si>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</si>
  <si>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</si>
  <si>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</si>
  <si>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</si>
  <si>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</si>
  <si>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</si>
  <si>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</si>
  <si>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</si>
  <si>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</si>
  <si>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</si>
  <si>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</si>
  <si>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</si>
  <si>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</si>
  <si>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</si>
  <si>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</si>
  <si>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</si>
  <si>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</si>
  <si>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</si>
  <si>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</si>
  <si>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</si>
  <si>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</si>
  <si>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</si>
  <si>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</si>
  <si>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</si>
  <si>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</si>
  <si>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</si>
  <si>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</si>
  <si>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</si>
  <si>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</si>
  <si>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</si>
  <si>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</si>
  <si>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</si>
  <si>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</si>
  <si>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</si>
  <si>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</si>
  <si>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</si>
  <si>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</si>
  <si>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</si>
  <si>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</si>
  <si>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</si>
  <si>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</si>
  <si>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</si>
  <si>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</si>
  <si>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</si>
  <si>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</si>
  <si>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</si>
  <si>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</si>
  <si>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</si>
  <si>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</si>
  <si>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</si>
  <si>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</si>
  <si>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</si>
  <si>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</si>
  <si>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</si>
  <si>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</si>
  <si>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</si>
  <si>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</si>
  <si>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</si>
  <si>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</si>
  <si>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</si>
  <si>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</si>
  <si>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</si>
  <si>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</si>
  <si>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</si>
  <si>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</si>
  <si>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</si>
  <si>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</si>
  <si>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</si>
  <si>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</si>
  <si>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</si>
  <si>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</si>
  <si>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</si>
  <si>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</si>
  <si>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</si>
  <si>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</si>
  <si>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</si>
  <si>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</si>
  <si>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</si>
  <si>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</si>
  <si>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</si>
  <si>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</si>
  <si>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</si>
  <si>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</si>
  <si>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</si>
  <si>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</si>
  <si>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</si>
  <si>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</si>
  <si>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</si>
  <si>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</si>
  <si>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</si>
  <si>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</si>
  <si>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</si>
  <si>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</si>
  <si>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</si>
  <si>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</si>
  <si>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</si>
  <si>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</si>
  <si>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</si>
  <si>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</si>
  <si>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</si>
  <si>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</si>
  <si>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</si>
  <si>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</si>
  <si>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</si>
  <si>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</si>
  <si>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</si>
  <si>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</si>
  <si>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</si>
  <si>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</si>
  <si>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</si>
  <si>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</si>
  <si>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</si>
  <si>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</si>
  <si>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</si>
  <si>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</si>
  <si>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</si>
  <si>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</si>
  <si>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</si>
  <si>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</si>
  <si>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</si>
  <si>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</si>
  <si>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</si>
  <si>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</si>
  <si>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</si>
  <si>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</si>
  <si>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</si>
  <si>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</si>
  <si>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</si>
  <si>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</si>
  <si>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</si>
  <si>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</si>
  <si>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</si>
  <si>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</si>
  <si>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</si>
  <si>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</si>
  <si>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</si>
  <si>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</si>
  <si>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</si>
  <si>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</si>
  <si>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</si>
  <si>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</si>
  <si>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</si>
  <si>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</si>
  <si>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</si>
  <si>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</si>
  <si>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</si>
  <si>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</si>
  <si>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</si>
  <si>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</si>
  <si>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</si>
  <si>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</si>
  <si>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</si>
  <si>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</si>
  <si>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</si>
  <si>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</si>
  <si>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</si>
  <si>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</si>
  <si>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</si>
  <si>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</si>
  <si>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</si>
  <si>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</si>
  <si>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</si>
  <si>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</si>
  <si>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</si>
  <si>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</si>
  <si>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</si>
  <si>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</si>
  <si>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</si>
  <si>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</si>
  <si>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</si>
  <si>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</si>
  <si>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</si>
  <si>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</si>
  <si>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</si>
  <si>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</si>
  <si>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</si>
  <si>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</si>
  <si>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</si>
  <si>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</si>
  <si>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</si>
  <si>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</si>
  <si>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</si>
  <si>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</si>
  <si>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</si>
  <si>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</si>
  <si>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</si>
  <si>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</si>
  <si>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</si>
  <si>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</si>
  <si>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</si>
  <si>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</si>
  <si>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</si>
  <si>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</si>
  <si>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</si>
  <si>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</si>
  <si>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</si>
  <si>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</si>
  <si>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</si>
  <si>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</si>
  <si>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</si>
  <si>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</si>
  <si>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</si>
  <si>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</si>
  <si>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</si>
  <si>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</si>
  <si>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</si>
  <si>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</si>
  <si>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</si>
  <si>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</si>
  <si>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</si>
  <si>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</si>
  <si>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</si>
  <si>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</si>
  <si>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</si>
  <si>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</si>
  <si>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</si>
  <si>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</si>
  <si>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</si>
  <si>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</si>
  <si>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</si>
  <si>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</si>
  <si>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</si>
  <si>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</si>
  <si>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</si>
  <si>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</si>
  <si>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</si>
  <si>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</si>
  <si>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</si>
  <si>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</si>
  <si>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</si>
  <si>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</si>
  <si>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</si>
  <si>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</si>
  <si>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</si>
  <si>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</si>
  <si>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</si>
  <si>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</si>
  <si>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</si>
  <si>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</si>
  <si>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</si>
  <si>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</si>
  <si>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</si>
  <si>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</si>
  <si>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</si>
  <si>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</si>
  <si>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</si>
  <si>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</si>
  <si>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</si>
  <si>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</si>
  <si>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</si>
  <si>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</si>
  <si>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</si>
  <si>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</si>
  <si>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</si>
  <si>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</si>
  <si>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</si>
  <si>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</si>
  <si>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</si>
  <si>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</si>
  <si>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</si>
  <si>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</si>
  <si>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</si>
  <si>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</si>
  <si>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</si>
  <si>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</si>
  <si>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</si>
  <si>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</si>
  <si>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</si>
  <si>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</si>
  <si>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</si>
  <si>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</si>
  <si>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</si>
  <si>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</si>
  <si>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</si>
  <si>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</si>
  <si>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</si>
  <si>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</si>
  <si>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</si>
  <si>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</si>
  <si>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</si>
  <si>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</si>
  <si>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</si>
  <si>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</si>
  <si>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</si>
  <si>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</si>
  <si>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</si>
  <si>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</si>
  <si>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</si>
  <si>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</si>
  <si>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</si>
  <si>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</si>
  <si>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</si>
  <si>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</si>
  <si>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</si>
  <si>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</si>
  <si>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</si>
  <si>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</si>
  <si>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</si>
  <si>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</si>
  <si>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</si>
  <si>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</si>
  <si>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</si>
  <si>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</si>
  <si>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</si>
  <si>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</si>
  <si>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</si>
  <si>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</si>
  <si>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</si>
  <si>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</si>
  <si>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</si>
  <si>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</si>
  <si>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</si>
  <si>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</si>
  <si>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</si>
  <si>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</si>
  <si>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</si>
  <si>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</si>
  <si>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</si>
  <si>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</si>
  <si>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</si>
  <si>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</si>
  <si>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</si>
  <si>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</si>
  <si>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</si>
  <si>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</si>
  <si>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</si>
  <si>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</si>
  <si>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</si>
  <si>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</si>
  <si>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</si>
  <si>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</si>
  <si>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</si>
  <si>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</si>
  <si>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</si>
  <si>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</si>
  <si>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</si>
  <si>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</si>
  <si>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</si>
  <si>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</si>
  <si>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</si>
  <si>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</si>
  <si>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</si>
  <si>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</si>
  <si>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</si>
  <si>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</si>
  <si>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</si>
  <si>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</si>
  <si>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</si>
  <si>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</si>
  <si>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</si>
  <si>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</si>
  <si>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</si>
  <si>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</si>
  <si>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</si>
  <si>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</si>
  <si>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</si>
  <si>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</si>
  <si>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</si>
  <si>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</si>
  <si>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</si>
  <si>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</si>
  <si>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</si>
  <si>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</si>
  <si>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</si>
  <si>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</si>
  <si>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</si>
  <si>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</si>
  <si>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</si>
  <si>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</si>
  <si>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</si>
  <si>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</si>
  <si>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</si>
  <si>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</si>
  <si>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</si>
  <si>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</si>
  <si>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</si>
  <si>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</si>
  <si>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</si>
  <si>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</si>
  <si>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</si>
  <si>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</si>
  <si>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</si>
  <si>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</si>
  <si>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</si>
  <si>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</si>
  <si>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</si>
  <si>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</si>
  <si>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</si>
  <si>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</si>
  <si>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</si>
  <si>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</si>
  <si>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</si>
  <si>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</si>
  <si>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</si>
  <si>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</si>
  <si>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</si>
  <si>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</si>
  <si>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</si>
  <si>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</si>
  <si>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</si>
  <si>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</si>
  <si>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</si>
  <si>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</si>
  <si>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</si>
  <si>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</si>
  <si>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</si>
  <si>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</si>
  <si>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</si>
  <si>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</si>
  <si>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</si>
  <si>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</si>
  <si>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</si>
  <si>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</si>
  <si>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</si>
  <si>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</si>
  <si>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</si>
  <si>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</si>
  <si>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</si>
  <si>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</si>
  <si>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</si>
  <si>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</si>
  <si>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</si>
  <si>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</si>
  <si>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</si>
  <si>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</si>
  <si>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</si>
  <si>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</si>
  <si>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</si>
  <si>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</si>
  <si>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</si>
  <si>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</si>
  <si>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</si>
  <si>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</si>
  <si>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</si>
  <si>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</si>
  <si>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</si>
  <si>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</si>
  <si>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</si>
  <si>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</si>
  <si>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</si>
  <si>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</si>
  <si>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</si>
  <si>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</si>
  <si>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</si>
  <si>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</si>
  <si>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</si>
  <si>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</si>
  <si>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</si>
  <si>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</si>
  <si>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</si>
  <si>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</si>
  <si>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</si>
  <si>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</si>
  <si>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</si>
  <si>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</si>
  <si>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</si>
  <si>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</si>
  <si>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</si>
  <si>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</si>
  <si>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</si>
  <si>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</si>
  <si>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</si>
  <si>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</si>
  <si>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</si>
  <si>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</si>
  <si>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</si>
  <si>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</si>
  <si>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</si>
  <si>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</si>
  <si>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</si>
  <si>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</si>
  <si>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</si>
  <si>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</si>
  <si>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</si>
  <si>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</si>
  <si>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</si>
  <si>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</si>
  <si>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</si>
  <si>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</si>
  <si>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</si>
  <si>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</si>
  <si>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</si>
  <si>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</si>
  <si>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</si>
  <si>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</si>
  <si>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</si>
  <si>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</si>
  <si>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</si>
  <si>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</si>
  <si>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</si>
  <si>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</si>
  <si>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</si>
  <si>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</si>
  <si>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</si>
  <si>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</si>
  <si>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</si>
  <si>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</si>
  <si>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</si>
  <si>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</si>
  <si>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</si>
  <si>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</si>
  <si>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</si>
  <si>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</si>
  <si>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</si>
  <si>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</si>
  <si>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</si>
  <si>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</si>
  <si>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</si>
  <si>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</si>
  <si>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</si>
  <si>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</si>
  <si>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</si>
  <si>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</si>
  <si>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</si>
  <si>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</si>
  <si>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</si>
  <si>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</si>
  <si>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</si>
  <si>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</si>
  <si>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</si>
  <si>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</si>
  <si>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</si>
  <si>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</si>
  <si>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</si>
  <si>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</si>
  <si>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</si>
  <si>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</si>
  <si>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</si>
  <si>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</si>
  <si>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</si>
  <si>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</si>
  <si>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</si>
  <si>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</si>
  <si>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</si>
  <si>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</si>
  <si>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</si>
  <si>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</si>
  <si>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</si>
  <si>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</si>
  <si>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</si>
  <si>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</si>
  <si>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</si>
  <si>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</si>
  <si>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</si>
  <si>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</si>
  <si>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</si>
  <si>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</si>
  <si>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</si>
  <si>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</si>
  <si>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</si>
  <si>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</si>
  <si>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</si>
  <si>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</si>
  <si>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</si>
  <si>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</si>
  <si>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</si>
  <si>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</si>
  <si>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</si>
  <si>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</si>
  <si>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</si>
  <si>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</si>
  <si>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</si>
  <si>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</si>
  <si>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</si>
  <si>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</si>
  <si>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</si>
  <si>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</si>
  <si>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</si>
  <si>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</si>
  <si>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</si>
  <si>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</si>
  <si>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</si>
  <si>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</si>
  <si>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</si>
  <si>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</si>
  <si>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</si>
  <si>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</si>
  <si>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</si>
  <si>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</si>
  <si>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</si>
  <si>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</si>
  <si>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</si>
  <si>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</si>
  <si>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</si>
  <si>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</si>
  <si>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</si>
  <si>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</si>
  <si>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</si>
  <si>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</si>
  <si>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</si>
  <si>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</si>
  <si>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</si>
  <si>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</si>
  <si>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</si>
  <si>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</si>
  <si>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</si>
  <si>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</si>
  <si>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</si>
  <si>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</si>
  <si>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</si>
  <si>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</si>
  <si>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</si>
  <si>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</si>
  <si>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</si>
  <si>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</si>
  <si>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</si>
  <si>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</si>
  <si>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</si>
  <si>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</si>
  <si>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</si>
  <si>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</si>
  <si>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</si>
  <si>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</si>
  <si>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</si>
  <si>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</si>
  <si>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</si>
  <si>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</si>
  <si>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</si>
  <si>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</si>
  <si>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</si>
  <si>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</si>
  <si>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</si>
  <si>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</si>
  <si>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</si>
  <si>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</si>
  <si>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</si>
  <si>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</si>
  <si>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</si>
  <si>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</si>
  <si>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</si>
  <si>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</si>
  <si>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</si>
  <si>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</si>
  <si>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</si>
  <si>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</si>
  <si>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</si>
  <si>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</si>
  <si>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</si>
  <si>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</si>
  <si>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</si>
  <si>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</si>
  <si>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</si>
  <si>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</si>
  <si>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</si>
  <si>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</si>
  <si>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</si>
  <si>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</si>
  <si>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</si>
  <si>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</si>
  <si>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</si>
  <si>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</si>
  <si>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</si>
  <si>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</si>
  <si>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</si>
  <si>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</si>
  <si>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</si>
  <si>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</si>
  <si>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</si>
  <si>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</si>
  <si>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</si>
  <si>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</si>
  <si>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</si>
  <si>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</si>
  <si>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</si>
  <si>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</si>
  <si>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</si>
  <si>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</si>
  <si>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</si>
  <si>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</si>
  <si>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</si>
  <si>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</si>
  <si>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</si>
  <si>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</si>
  <si>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</si>
  <si>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</si>
  <si>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</si>
  <si>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</si>
  <si>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</si>
  <si>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</si>
  <si>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</si>
  <si>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</si>
  <si>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</si>
  <si>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</si>
  <si>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</si>
  <si>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</si>
  <si>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</si>
  <si>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</si>
  <si>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</si>
  <si>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</si>
  <si>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</si>
  <si>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</si>
  <si>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</si>
  <si>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</si>
  <si>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</si>
  <si>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</si>
  <si>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</si>
  <si>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</si>
  <si>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</si>
  <si>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</si>
  <si>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</si>
  <si>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</si>
  <si>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</si>
  <si>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</si>
  <si>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</si>
  <si>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</si>
  <si>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</si>
  <si>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</si>
  <si>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</si>
  <si>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</si>
  <si>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</si>
  <si>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</si>
  <si>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</si>
  <si>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</si>
  <si>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</si>
  <si>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</si>
  <si>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</si>
  <si>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</si>
  <si>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</si>
  <si>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</si>
  <si>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</si>
  <si>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</si>
  <si>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</si>
  <si>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</si>
  <si>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</si>
  <si>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</si>
  <si>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</si>
  <si>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</si>
  <si>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</si>
  <si>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</si>
  <si>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</si>
  <si>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</si>
  <si>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</si>
  <si>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</si>
  <si>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</si>
  <si>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</si>
  <si>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</si>
  <si>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</si>
  <si>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</si>
  <si>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</si>
  <si>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</si>
  <si>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</si>
  <si>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</si>
  <si>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</si>
  <si>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</si>
  <si>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</si>
  <si>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</si>
  <si>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</si>
  <si>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</si>
  <si>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</si>
  <si>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</si>
  <si>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</si>
  <si>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</si>
  <si>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</si>
  <si>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</si>
  <si>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</si>
  <si>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</si>
  <si>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</si>
  <si>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</si>
  <si>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</si>
  <si>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</si>
  <si>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</si>
  <si>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</si>
  <si>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</si>
  <si>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</si>
  <si>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</si>
  <si>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</si>
  <si>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</si>
  <si>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</si>
  <si>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</si>
  <si>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</si>
  <si>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</si>
  <si>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</si>
  <si>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</si>
  <si>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</si>
  <si>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</si>
  <si>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</si>
  <si>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</si>
  <si>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</si>
  <si>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</si>
  <si>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</si>
  <si>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</si>
  <si>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</si>
  <si>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</si>
  <si>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</si>
  <si>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</si>
  <si>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</si>
  <si>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</si>
  <si>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</si>
  <si>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</si>
  <si>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</si>
  <si>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</si>
  <si>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</si>
  <si>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</si>
  <si>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</si>
  <si>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</si>
  <si>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</si>
  <si>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</si>
  <si>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</si>
  <si>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</si>
  <si>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</si>
  <si>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</si>
  <si>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</si>
  <si>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</si>
  <si>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</si>
  <si>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</si>
  <si>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</si>
  <si>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</si>
  <si>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</si>
  <si>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</si>
  <si>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</si>
  <si>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</si>
  <si>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</si>
  <si>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</si>
  <si>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</si>
  <si>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</si>
  <si>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</si>
  <si>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</si>
  <si>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</si>
  <si>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</si>
  <si>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</si>
  <si>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</si>
  <si>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</si>
  <si>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</si>
  <si>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</si>
  <si>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</si>
  <si>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</si>
  <si>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</si>
  <si>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</si>
  <si>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</si>
  <si>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</si>
  <si>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</si>
  <si>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</si>
  <si>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</si>
  <si>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</si>
  <si>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</si>
  <si>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</si>
  <si>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</si>
  <si>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</si>
  <si>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</si>
  <si>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</si>
  <si>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</si>
  <si>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</si>
  <si>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</si>
  <si>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</si>
  <si>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</si>
  <si>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</si>
  <si>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</si>
  <si>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</si>
  <si>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</si>
  <si>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</si>
  <si>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</si>
  <si>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</si>
  <si>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</si>
  <si>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</si>
  <si>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</si>
  <si>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</si>
  <si>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</si>
  <si>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</si>
  <si>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</si>
  <si>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</si>
  <si>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</si>
  <si>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</si>
  <si>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</si>
  <si>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</si>
  <si>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</si>
  <si>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</si>
  <si>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</si>
  <si>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</si>
  <si>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</si>
  <si>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</si>
  <si>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</si>
  <si>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</si>
  <si>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</si>
  <si>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</si>
  <si>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</si>
  <si>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</si>
  <si>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</si>
  <si>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</si>
  <si>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</si>
  <si>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</si>
  <si>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</si>
  <si>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</si>
  <si>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</si>
  <si>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</si>
  <si>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</si>
  <si>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</si>
  <si>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</si>
  <si>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</si>
  <si>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</si>
  <si>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</si>
  <si>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</si>
  <si>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</si>
  <si>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</si>
  <si>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</si>
  <si>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</si>
  <si>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</si>
  <si>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</si>
  <si>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</si>
  <si>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</si>
  <si>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</si>
  <si>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</si>
  <si>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</si>
  <si>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</si>
  <si>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</si>
  <si>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</si>
  <si>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</si>
  <si>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</si>
  <si>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</si>
  <si>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</si>
  <si>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</si>
  <si>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</si>
  <si>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</si>
  <si>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</si>
  <si>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</si>
  <si>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</si>
  <si>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</si>
  <si>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</si>
  <si>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</si>
  <si>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</si>
  <si>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</si>
  <si>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</si>
  <si>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</si>
  <si>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</si>
  <si>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</si>
  <si>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</si>
  <si>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</si>
  <si>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</si>
  <si>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</si>
  <si>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</si>
  <si>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</si>
  <si>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</si>
  <si>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</si>
  <si>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</si>
  <si>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</si>
  <si>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</si>
  <si>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</si>
  <si>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</si>
  <si>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</si>
  <si>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</si>
  <si>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</si>
  <si>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</si>
  <si>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</si>
  <si>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</si>
  <si>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</si>
  <si>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</si>
  <si>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</si>
  <si>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</si>
  <si>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</si>
  <si>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</si>
  <si>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</si>
  <si>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</si>
  <si>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</si>
  <si>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</si>
  <si>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</si>
  <si>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</si>
  <si>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</si>
  <si>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</si>
  <si>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</si>
  <si>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</si>
  <si>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</si>
  <si>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</si>
  <si>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</si>
  <si>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</si>
  <si>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</si>
  <si>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</si>
  <si>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</si>
  <si>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</si>
  <si>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</si>
  <si>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</si>
  <si>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</si>
  <si>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</si>
  <si>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</si>
  <si>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</si>
  <si>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</si>
  <si>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</si>
  <si>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</si>
  <si>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</si>
  <si>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</si>
  <si>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</si>
  <si>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</si>
  <si>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</si>
  <si>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</si>
  <si>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</si>
  <si>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</si>
  <si>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</si>
  <si>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</si>
  <si>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</si>
  <si>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</si>
  <si>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</si>
  <si>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</si>
  <si>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</si>
  <si>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</si>
  <si>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</si>
  <si>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</si>
  <si>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</si>
  <si>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</si>
  <si>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</si>
  <si>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</si>
  <si>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</si>
  <si>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</si>
  <si>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</si>
  <si>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</si>
  <si>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</si>
  <si>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</si>
  <si>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</si>
  <si>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</si>
  <si>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</si>
  <si>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</si>
  <si>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</si>
  <si>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</si>
  <si>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</si>
  <si>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</si>
  <si>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</si>
  <si>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</si>
  <si>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</si>
  <si>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</si>
  <si>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</si>
  <si>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</si>
  <si>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</si>
  <si>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</si>
  <si>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</si>
  <si>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</si>
  <si>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</si>
  <si>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</si>
  <si>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</si>
  <si>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</si>
  <si>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</si>
  <si>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</si>
  <si>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</si>
  <si>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</si>
  <si>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</si>
  <si>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</si>
  <si>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</si>
  <si>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</si>
  <si>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</si>
  <si>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</si>
  <si>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</si>
  <si>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</si>
  <si>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</si>
  <si>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</si>
  <si>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</si>
  <si>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</si>
  <si>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</si>
  <si>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</si>
  <si>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</si>
  <si>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</si>
  <si>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</si>
  <si>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</si>
  <si>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</si>
  <si>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</si>
  <si>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</si>
  <si>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</si>
  <si>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</si>
  <si>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</si>
  <si>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</si>
  <si>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</si>
  <si>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</si>
  <si>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</si>
  <si>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</si>
  <si>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</si>
  <si>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</si>
  <si>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</si>
  <si>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</si>
  <si>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</si>
  <si>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</si>
  <si>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</si>
  <si>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</si>
  <si>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</si>
  <si>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</si>
  <si>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</si>
  <si>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</si>
  <si>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</si>
  <si>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</si>
  <si>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</si>
  <si>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</si>
  <si>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</si>
  <si>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</si>
  <si>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</si>
  <si>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</si>
  <si>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</si>
  <si>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</si>
  <si>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</si>
  <si>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</si>
  <si>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</si>
  <si>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</si>
  <si>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</si>
  <si>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</si>
  <si>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</si>
  <si>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</si>
  <si>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</si>
  <si>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</si>
  <si>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</si>
  <si>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</si>
  <si>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</si>
  <si>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</si>
  <si>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</si>
  <si>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</si>
  <si>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</si>
  <si>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</si>
  <si>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</si>
  <si>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</si>
  <si>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</si>
  <si>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</si>
  <si>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</si>
  <si>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</si>
  <si>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</si>
  <si>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</si>
  <si>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</si>
  <si>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</si>
  <si>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</si>
  <si>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</si>
  <si>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</si>
  <si>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</si>
  <si>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</si>
  <si>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</si>
  <si>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</si>
  <si>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</si>
  <si>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</si>
  <si>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</si>
  <si>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</si>
  <si>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</si>
  <si>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</si>
  <si>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</si>
  <si>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</si>
  <si>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</si>
  <si>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</si>
  <si>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</si>
  <si>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</si>
  <si>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</si>
  <si>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</si>
  <si>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</si>
  <si>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</si>
  <si>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</si>
  <si>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</si>
  <si>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</si>
  <si>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</si>
  <si>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</si>
  <si>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</si>
  <si>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</si>
  <si>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</si>
  <si>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</si>
  <si>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</si>
  <si>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</si>
  <si>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</si>
  <si>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</si>
  <si>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</si>
  <si>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</si>
  <si>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</si>
  <si>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</si>
  <si>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</si>
  <si>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</si>
  <si>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</si>
  <si>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</si>
  <si>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</si>
  <si>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</si>
  <si>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</si>
  <si>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</si>
  <si>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</si>
  <si>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</si>
  <si>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</si>
  <si>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</si>
  <si>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</si>
  <si>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</si>
  <si>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</si>
  <si>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</si>
  <si>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</si>
  <si>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</si>
  <si>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</si>
  <si>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</si>
  <si>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</si>
  <si>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</si>
  <si>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</si>
  <si>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</si>
  <si>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</si>
  <si>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</si>
  <si>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</si>
  <si>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</si>
  <si>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</si>
  <si>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</si>
  <si>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</si>
  <si>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</si>
  <si>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</si>
  <si>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</si>
  <si>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</si>
  <si>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</si>
  <si>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</si>
  <si>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</si>
  <si>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</si>
  <si>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</si>
  <si>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</si>
  <si>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</si>
  <si>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</si>
  <si>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</si>
  <si>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</si>
  <si>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</si>
  <si>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</si>
  <si>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</si>
  <si>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</si>
  <si>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</si>
  <si>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</si>
  <si>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</si>
  <si>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</si>
  <si>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</si>
  <si>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</si>
  <si>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</si>
  <si>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</si>
  <si>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</si>
  <si>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</si>
  <si>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</si>
  <si>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</si>
  <si>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</si>
  <si>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</si>
  <si>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</si>
  <si>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</si>
  <si>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</si>
  <si>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</si>
  <si>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</si>
  <si>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</si>
  <si>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</si>
  <si>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</si>
  <si>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</si>
  <si>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</si>
  <si>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</si>
  <si>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</si>
  <si>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</si>
  <si>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</si>
  <si>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</si>
  <si>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</si>
  <si>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</si>
  <si>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</si>
  <si>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</si>
  <si>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</si>
  <si>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</si>
  <si>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</si>
  <si>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</si>
  <si>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</si>
  <si>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</si>
  <si>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</si>
  <si>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</si>
  <si>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</si>
  <si>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</si>
  <si>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</si>
  <si>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</si>
  <si>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</si>
  <si>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</si>
  <si>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</si>
  <si>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</si>
  <si>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</si>
  <si>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</si>
  <si>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</si>
  <si>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</si>
  <si>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</si>
  <si>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</si>
  <si>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</si>
  <si>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</si>
  <si>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</si>
  <si>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</si>
  <si>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</si>
  <si>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</si>
  <si>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</si>
  <si>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</si>
  <si>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</si>
  <si>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</si>
  <si>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</si>
  <si>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</si>
  <si>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</si>
  <si>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</si>
  <si>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</si>
  <si>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</si>
  <si>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</si>
  <si>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</si>
  <si>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</si>
  <si>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</si>
  <si>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</si>
  <si>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</si>
  <si>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</si>
  <si>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</si>
  <si>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</si>
  <si>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</si>
  <si>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</si>
  <si>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</si>
  <si>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</si>
  <si>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</si>
  <si>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</si>
  <si>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</si>
  <si>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</si>
  <si>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</si>
  <si>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</si>
  <si>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</si>
  <si>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</si>
  <si>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</si>
  <si>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</si>
  <si>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</si>
  <si>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</si>
  <si>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</si>
  <si>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</si>
  <si>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</si>
  <si>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</si>
  <si>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</si>
  <si>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</si>
  <si>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</si>
  <si>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</si>
  <si>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</si>
  <si>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</si>
  <si>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</si>
  <si>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</si>
  <si>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</si>
  <si>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</si>
  <si>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</si>
  <si>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</si>
  <si>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</si>
  <si>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</si>
  <si>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</si>
  <si>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</si>
  <si>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</si>
  <si>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</si>
  <si>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</si>
  <si>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</si>
  <si>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</si>
  <si>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</si>
  <si>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</si>
  <si>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</si>
  <si>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</si>
  <si>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</si>
  <si>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</si>
  <si>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</si>
  <si>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</si>
  <si>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</si>
  <si>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</si>
  <si>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</si>
  <si>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</si>
  <si>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</si>
  <si>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</si>
  <si>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</si>
  <si>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</si>
  <si>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</si>
  <si>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</si>
  <si>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</si>
  <si>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</si>
  <si>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</si>
  <si>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</si>
  <si>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</si>
  <si>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</si>
  <si>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</si>
  <si>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</si>
  <si>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</si>
  <si>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</si>
  <si>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</si>
  <si>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</si>
  <si>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</si>
  <si>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</si>
  <si>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</si>
  <si>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</si>
  <si>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</si>
  <si>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</si>
  <si>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</si>
  <si>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</si>
  <si>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</si>
  <si>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</si>
  <si>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</si>
  <si>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</si>
  <si>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</si>
  <si>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</si>
  <si>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</si>
  <si>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</si>
  <si>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</si>
  <si>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</si>
  <si>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</si>
  <si>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</si>
  <si>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</si>
  <si>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</si>
  <si>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</si>
  <si>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</si>
  <si>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</si>
  <si>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</si>
  <si>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</si>
  <si>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</si>
  <si>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</si>
  <si>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</si>
  <si>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</si>
  <si>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</si>
  <si>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</si>
  <si>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</si>
  <si>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</si>
  <si>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</si>
  <si>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</si>
  <si>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</si>
  <si>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</si>
  <si>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</si>
  <si>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</si>
  <si>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</si>
  <si>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</si>
  <si>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</si>
  <si>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</si>
  <si>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</si>
  <si>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</si>
  <si>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</si>
  <si>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</si>
  <si>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</si>
  <si>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</si>
  <si>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</si>
  <si>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</si>
  <si>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</si>
  <si>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</si>
  <si>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</si>
  <si>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</si>
  <si>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</si>
  <si>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</si>
  <si>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</si>
  <si>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</si>
  <si>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</si>
  <si>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</si>
  <si>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</si>
  <si>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</si>
  <si>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</si>
  <si>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</si>
  <si>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</si>
  <si>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</si>
  <si>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</si>
  <si>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</si>
  <si>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</si>
  <si>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</si>
  <si>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</si>
  <si>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</si>
  <si>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</si>
  <si>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</si>
  <si>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</si>
  <si>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</si>
  <si>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</si>
  <si>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</si>
  <si>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</si>
  <si>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</si>
  <si>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</si>
  <si>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</si>
  <si>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</si>
  <si>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</si>
  <si>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</si>
  <si>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</si>
  <si>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</si>
  <si>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</si>
  <si>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</si>
  <si>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</si>
  <si>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</si>
  <si>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</si>
  <si>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</si>
  <si>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</si>
  <si>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</si>
  <si>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</si>
  <si>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</si>
  <si>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</si>
  <si>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</si>
  <si>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</si>
  <si>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</si>
  <si>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</si>
  <si>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</si>
  <si>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</si>
  <si>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</si>
  <si>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</si>
  <si>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</si>
  <si>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</si>
  <si>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</si>
  <si>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</si>
  <si>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</si>
  <si>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</si>
  <si>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</si>
  <si>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</si>
  <si>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</si>
  <si>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</si>
  <si>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</si>
  <si>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</si>
  <si>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</si>
  <si>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</si>
  <si>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</si>
  <si>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</si>
  <si>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</si>
  <si>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</si>
  <si>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</si>
  <si>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</si>
  <si>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</si>
  <si>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</si>
  <si>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</si>
  <si>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</si>
  <si>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</si>
  <si>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</si>
  <si>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</si>
  <si>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</si>
  <si>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</si>
  <si>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</si>
  <si>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</si>
  <si>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</si>
  <si>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</si>
  <si>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</si>
  <si>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</si>
  <si>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</si>
  <si>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</si>
  <si>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</si>
  <si>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</si>
  <si>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</si>
  <si>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</si>
  <si>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</si>
  <si>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</si>
  <si>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</si>
  <si>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</si>
  <si>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</si>
  <si>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</si>
  <si>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</si>
  <si>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</si>
  <si>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</si>
  <si>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</si>
  <si>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</si>
  <si>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</si>
  <si>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</si>
  <si>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</si>
  <si>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</si>
  <si>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</si>
  <si>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</si>
  <si>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</si>
  <si>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</si>
  <si>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</si>
  <si>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</si>
  <si>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</si>
  <si>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</si>
  <si>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</si>
  <si>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</si>
  <si>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</si>
  <si>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</si>
  <si>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</si>
  <si>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</si>
  <si>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</si>
  <si>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</si>
  <si>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</si>
  <si>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</si>
  <si>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</si>
  <si>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</si>
  <si>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</si>
  <si>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</si>
  <si>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</si>
  <si>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</si>
  <si>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</si>
  <si>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</si>
  <si>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</si>
  <si>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</si>
  <si>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</si>
  <si>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</si>
  <si>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</si>
  <si>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</si>
  <si>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</si>
  <si>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</si>
  <si>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</si>
  <si>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</si>
  <si>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</si>
  <si>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</si>
  <si>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</si>
  <si>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</si>
  <si>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</si>
  <si>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</si>
  <si>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</si>
  <si>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</si>
  <si>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</si>
  <si>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</si>
  <si>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</si>
  <si>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</si>
  <si>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</si>
  <si>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</si>
  <si>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</si>
  <si>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</si>
  <si>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</si>
  <si>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</si>
  <si>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</si>
  <si>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</si>
  <si>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</si>
  <si>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</si>
  <si>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</si>
  <si>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</si>
  <si>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</si>
  <si>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</si>
  <si>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</si>
  <si>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</si>
  <si>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</si>
  <si>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</si>
  <si>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</si>
  <si>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</si>
  <si>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</si>
  <si>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</si>
  <si>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</si>
  <si>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</si>
  <si>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</si>
  <si>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</si>
  <si>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</si>
  <si>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</si>
  <si>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</si>
  <si>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</si>
  <si>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</si>
  <si>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</si>
  <si>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</si>
  <si>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</si>
  <si>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</si>
  <si>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</si>
  <si>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</si>
  <si>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</si>
  <si>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</si>
  <si>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</si>
  <si>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</si>
  <si>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</si>
  <si>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</si>
  <si>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</si>
  <si>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</si>
  <si>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</si>
  <si>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</si>
  <si>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</si>
  <si>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</si>
  <si>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</si>
  <si>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</si>
  <si>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</si>
  <si>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</si>
  <si>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</si>
  <si>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</si>
  <si>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</si>
  <si>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</si>
  <si>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</si>
  <si>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</si>
  <si>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</si>
  <si>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</si>
  <si>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</si>
  <si>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</si>
  <si>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</si>
  <si>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</si>
  <si>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</si>
  <si>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</si>
  <si>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</si>
  <si>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</si>
  <si>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</si>
  <si>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</si>
  <si>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</si>
  <si>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</si>
  <si>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</si>
  <si>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</si>
  <si>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</si>
  <si>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</si>
  <si>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</si>
  <si>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</si>
  <si>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</si>
  <si>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</si>
  <si>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</si>
  <si>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</si>
  <si>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</si>
  <si>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</si>
  <si>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</si>
  <si>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</si>
  <si>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</si>
  <si>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</si>
  <si>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</si>
  <si>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</si>
  <si>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</si>
  <si>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</si>
  <si>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</si>
  <si>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</si>
  <si>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</si>
  <si>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</si>
  <si>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</si>
  <si>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</si>
  <si>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</si>
  <si>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</si>
  <si>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</si>
  <si>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</si>
  <si>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</si>
  <si>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</si>
  <si>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</si>
  <si>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</si>
  <si>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</si>
  <si>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</si>
  <si>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</si>
  <si>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</si>
  <si>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</si>
  <si>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</si>
  <si>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</si>
  <si>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</si>
  <si>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</si>
  <si>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</si>
  <si>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</si>
  <si>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</si>
  <si>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</si>
  <si>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</si>
  <si>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</si>
  <si>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</si>
  <si>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</si>
  <si>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</si>
  <si>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</si>
  <si>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</si>
  <si>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</si>
  <si>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</si>
  <si>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</si>
  <si>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</si>
  <si>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</si>
  <si>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</si>
  <si>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</si>
  <si>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</si>
  <si>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</si>
  <si>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</si>
  <si>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</si>
  <si>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</si>
  <si>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</si>
  <si>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</si>
  <si>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</si>
  <si>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</si>
  <si>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</si>
  <si>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</si>
  <si>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</si>
  <si>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</si>
  <si>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</si>
  <si>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</si>
  <si>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</si>
  <si>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</si>
  <si>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</si>
  <si>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</si>
  <si>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</si>
  <si>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</si>
  <si>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</si>
  <si>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</si>
  <si>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</si>
  <si>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</si>
  <si>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</si>
  <si>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</si>
  <si>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</si>
  <si>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</si>
  <si>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</si>
  <si>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</si>
  <si>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</si>
  <si>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</si>
  <si>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</si>
  <si>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</si>
  <si>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</si>
  <si>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</si>
  <si>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</si>
  <si>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</si>
  <si>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</si>
  <si>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</si>
  <si>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</si>
  <si>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</si>
  <si>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</si>
  <si>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</si>
  <si>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</si>
  <si>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</si>
  <si>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</si>
  <si>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</si>
  <si>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</si>
  <si>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</si>
  <si>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</si>
  <si>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</si>
  <si>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</si>
  <si>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</si>
  <si>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</si>
  <si>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</si>
  <si>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</si>
  <si>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</si>
  <si>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</si>
  <si>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</si>
  <si>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</si>
  <si>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</si>
  <si>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</si>
  <si>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</si>
  <si>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</si>
  <si>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</si>
  <si>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</si>
  <si>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</si>
  <si>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</si>
  <si>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</si>
  <si>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</si>
  <si>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</si>
  <si>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</si>
  <si>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</si>
  <si>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</si>
  <si>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</si>
  <si>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</si>
  <si>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</si>
  <si>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</si>
  <si>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</si>
  <si>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</si>
  <si>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</si>
  <si>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</si>
  <si>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</si>
  <si>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</si>
  <si>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</si>
  <si>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</si>
  <si>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</si>
  <si>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</si>
  <si>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</si>
  <si>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</si>
  <si>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</si>
  <si>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</si>
  <si>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</si>
  <si>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</si>
  <si>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</si>
  <si>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</si>
  <si>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</si>
  <si>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</si>
  <si>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</si>
  <si>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</si>
  <si>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</si>
  <si>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</si>
  <si>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</si>
  <si>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</si>
  <si>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</si>
  <si>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americký futbal - bežné transfery</t>
  </si>
  <si>
    <t>Sportova psychologicka</t>
  </si>
  <si>
    <t>prenajom priestrov pre U15 repre kemp</t>
  </si>
  <si>
    <t>PaedDr. Bc. Karol Kollár - INFOPRESS</t>
  </si>
  <si>
    <t>20250161</t>
  </si>
  <si>
    <t>American Football Bund Österreich (AFBÖ)</t>
  </si>
  <si>
    <t>202500115</t>
  </si>
  <si>
    <t>202500100</t>
  </si>
  <si>
    <t>36560812</t>
  </si>
  <si>
    <t>ALDESŠPORT s.r.o.</t>
  </si>
  <si>
    <t>37865412</t>
  </si>
  <si>
    <t>Základná škola Krčméryho</t>
  </si>
  <si>
    <t>37865609</t>
  </si>
  <si>
    <t>Základná škola Tulipánová</t>
  </si>
  <si>
    <t>52238261</t>
  </si>
  <si>
    <t>Finaly s.r.o.</t>
  </si>
  <si>
    <t>Prispevok juniorom Nitra Knights: Výroba oceneni pre najlepsších hráčov</t>
  </si>
  <si>
    <t>Prispevok juniorom Nitra Knights: Prenájom telocvične</t>
  </si>
  <si>
    <t>Prispevok juniorom Nitra Knights: Ozvučenie juniorsých turnajov</t>
  </si>
  <si>
    <t>250108</t>
  </si>
  <si>
    <t>52025</t>
  </si>
  <si>
    <t>2202523</t>
  </si>
  <si>
    <t>6125800025</t>
  </si>
  <si>
    <t>VIA SANTA CATERINA DA SIENA
MARIANO COMENSE, Lombardia 22066, Italia</t>
  </si>
  <si>
    <t>36165638</t>
  </si>
  <si>
    <t>ZŠ Májové námestie, Májové námestie 6639/1, Prešov</t>
  </si>
  <si>
    <t>10161</t>
  </si>
  <si>
    <t>202500064</t>
  </si>
  <si>
    <t>Prispevok juniorom Saris Wildhorses: Nákup flagov - Snatch kit/Custom Flags</t>
  </si>
  <si>
    <t>Prispevok juniorom Saris Wildhorses: Nájom futbalového ihriska</t>
  </si>
  <si>
    <t>42362717</t>
  </si>
  <si>
    <t>Novomestský športový klub 1922 Bratislava</t>
  </si>
  <si>
    <t>9202505</t>
  </si>
  <si>
    <t>00397687</t>
  </si>
  <si>
    <t>Slovenská technická univerzita v Bratislave</t>
  </si>
  <si>
    <t>9703007224</t>
  </si>
  <si>
    <t>Prispevok juniorom Bratislava Monarchs: Prenájom tréningovej plochy</t>
  </si>
  <si>
    <t>Prispevok juniorom Istropolis Invincibles: Prenájom hracej plochy pre juniorské tímy Istropolis Invincibles</t>
  </si>
  <si>
    <t>Michala Bednáriková - Pro Performance</t>
  </si>
  <si>
    <t>20250902</t>
  </si>
  <si>
    <t>43282938</t>
  </si>
  <si>
    <t>mcburger&amp;Lena s.r.o.</t>
  </si>
  <si>
    <t>45962600</t>
  </si>
  <si>
    <t>25003</t>
  </si>
  <si>
    <t>PLAYGROUND</t>
  </si>
  <si>
    <t>Fixtape s.r.o.</t>
  </si>
  <si>
    <t>25506832</t>
  </si>
  <si>
    <t>04054962</t>
  </si>
  <si>
    <t>PUBKAPITAN s.r.o.</t>
  </si>
  <si>
    <t>20251000001</t>
  </si>
  <si>
    <t>51336821</t>
  </si>
  <si>
    <t>DDI s. r. o.</t>
  </si>
  <si>
    <t>54519446</t>
  </si>
  <si>
    <t>259006</t>
  </si>
  <si>
    <t>Istropolis Invincibles</t>
  </si>
  <si>
    <t>54541522</t>
  </si>
  <si>
    <t>20250004</t>
  </si>
  <si>
    <t>259015</t>
  </si>
  <si>
    <t>259018</t>
  </si>
  <si>
    <t>00167746</t>
  </si>
  <si>
    <t>Bratislavské stavebné družstvo, Bratislava</t>
  </si>
  <si>
    <t>Sklad 07/2026</t>
  </si>
  <si>
    <t>Sklad 08/2026</t>
  </si>
  <si>
    <t>Sklad 09/2026</t>
  </si>
  <si>
    <t>Sklad 10/2026</t>
  </si>
  <si>
    <t>Sklad 11/2026</t>
  </si>
  <si>
    <t>Sklad 12/2026</t>
  </si>
  <si>
    <t>20250227</t>
  </si>
  <si>
    <t>20250260</t>
  </si>
  <si>
    <t>20250292</t>
  </si>
  <si>
    <t>20250327</t>
  </si>
  <si>
    <t>20250359</t>
  </si>
  <si>
    <t>20250393</t>
  </si>
  <si>
    <t>36421928</t>
  </si>
  <si>
    <t>Websupport s. r. o.</t>
  </si>
  <si>
    <t>poplatok za domenu www.saaf.sk</t>
  </si>
  <si>
    <t>Prenajom dodavky použite na odvoz hracov na Majstrovstva Europy kategorie  U15 v Innsbrucku (Rakusko). 5.-7.9.2025</t>
  </si>
  <si>
    <t>2. splatka - poplatok organizatorovy za Majstrovstvý Európy kategória U15 v Innsbrucku (Rakusko). 5.-7.9.2025</t>
  </si>
  <si>
    <t>3. splatka - poplatok organizatorovy za Majstrovstvý Európy kategória U15 v Innsbrucku (Rakusko). 5.-7.9.2025</t>
  </si>
  <si>
    <t>Organizacia kempov reprezentacie</t>
  </si>
  <si>
    <t>Nakup tejpovacich pasok pre reprezentaciu</t>
  </si>
  <si>
    <t>2. splatka poplatok organizatorovi - Majstrovstva Europy kategoria - seniori v Parizi (Francuzko) 25.-27.9.2025</t>
  </si>
  <si>
    <t>Strava hracov pocas kempov reprezentacie - kategoria U15</t>
  </si>
  <si>
    <t>prenajom priestorov pre video meeting hracov narodneho timu - kategoria seniori</t>
  </si>
  <si>
    <t>20250008</t>
  </si>
  <si>
    <t>35440899</t>
  </si>
  <si>
    <t>20250016</t>
  </si>
  <si>
    <t>Nitra Knights Marketing s. r. o.</t>
  </si>
  <si>
    <t>55289461</t>
  </si>
  <si>
    <t>FAC_202504_2384</t>
  </si>
  <si>
    <t>4. splatka poplatok organizatorovi - Majstrovstva Europy kategoria - seniori v Parizi (Francuzko) 25.-27.9.2025</t>
  </si>
  <si>
    <t>DF2025090001</t>
  </si>
  <si>
    <t>DF2025090002</t>
  </si>
  <si>
    <t>DF2025070002</t>
  </si>
  <si>
    <t>DF2025070001</t>
  </si>
  <si>
    <t>DF2025080001</t>
  </si>
  <si>
    <t>DF2025100001</t>
  </si>
  <si>
    <t>DF2025110001</t>
  </si>
  <si>
    <t>DF2025120001</t>
  </si>
  <si>
    <t>DF2025080002</t>
  </si>
  <si>
    <t>DF2025080003</t>
  </si>
  <si>
    <t>DF2025080004</t>
  </si>
  <si>
    <t>DF2025080005</t>
  </si>
  <si>
    <t>DF2025100002</t>
  </si>
  <si>
    <t>DF2025100003</t>
  </si>
  <si>
    <t>DF2025110002</t>
  </si>
  <si>
    <t>DF2025110003</t>
  </si>
  <si>
    <t>D12025000001</t>
  </si>
  <si>
    <t>D12025000002</t>
  </si>
  <si>
    <t>D12025000003</t>
  </si>
  <si>
    <t>D12025000004</t>
  </si>
  <si>
    <t>DF2025090003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</si>
</sst>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28" val="1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1361</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Slovenská asociácia amerického futbalu, Nevädzová 17211/6B, Bratislava, 821 01</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3" t="s">
        <v>1293</v>
      </c>
      <c r="C14" s="374"/>
      <c r="F14" s="313"/>
      <c r="N14" s="137" t="str">
        <f t="shared" si="0"/>
        <v xml:space="preserve">n - </v>
      </c>
      <c r="O14" s="137" t="s">
        <v>364</v>
      </c>
    </row>
    <row r="15" spans="1:16" ht="34.35"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 customHeight="1" x14ac:dyDescent="0.25">
      <c r="A17" s="139" t="s">
        <v>1281</v>
      </c>
      <c r="B17" s="142">
        <f>F9</f>
        <v>0</v>
      </c>
      <c r="C17" s="137"/>
      <c r="F17" s="376"/>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30787009</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77" t="s">
        <v>1299</v>
      </c>
      <c r="B2" s="377"/>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V3</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3" priority="2" stopIfTrue="1">
      <formula>$A78&lt;&gt;""</formula>
    </cfRule>
  </conditionalFormatting>
  <conditionalFormatting sqref="A8:I76 I78">
    <cfRule type="expression" dxfId="112" priority="7" stopIfTrue="1">
      <formula>$A8&lt;&gt;""</formula>
    </cfRule>
  </conditionalFormatting>
  <conditionalFormatting sqref="B78:H2888">
    <cfRule type="expression" dxfId="111" priority="3" stopIfTrue="1">
      <formula>$A78&lt;&gt;""</formula>
    </cfRule>
  </conditionalFormatting>
  <conditionalFormatting sqref="D2886:D2913">
    <cfRule type="expression" dxfId="11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45688</v>
      </c>
      <c r="D1" s="26"/>
      <c r="G1" s="252">
        <v>45688</v>
      </c>
    </row>
    <row r="2" spans="1:7" ht="13.8" x14ac:dyDescent="0.25">
      <c r="A2" s="28"/>
      <c r="B2" s="28"/>
      <c r="G2" s="252">
        <v>45716</v>
      </c>
    </row>
    <row r="3" spans="1:7" ht="13.8" x14ac:dyDescent="0.25">
      <c r="A3" s="30" t="s">
        <v>312</v>
      </c>
      <c r="B3" s="326" t="str">
        <f>INDEX(Adr!B:B,Doklady!B102+1)</f>
        <v>Slovenská asociácia amerického futbalu</v>
      </c>
      <c r="C3" s="326"/>
      <c r="D3" s="326"/>
      <c r="G3" s="252">
        <v>45747</v>
      </c>
    </row>
    <row r="4" spans="1:7" ht="13.8" x14ac:dyDescent="0.25">
      <c r="A4" s="30" t="s">
        <v>313</v>
      </c>
      <c r="B4" s="29" t="str">
        <f>RIGHT("0000"&amp;INDEX(Adr!A:A,Doklady!B102+1),8)</f>
        <v>30787009</v>
      </c>
      <c r="G4" s="252">
        <v>45777</v>
      </c>
    </row>
    <row r="5" spans="1:7" ht="13.8" x14ac:dyDescent="0.25">
      <c r="A5" s="30" t="s">
        <v>314</v>
      </c>
      <c r="B5" s="29" t="str">
        <f>INDEX(Adr!D:D,Doklady!B102+1)&amp;", "&amp;INDEX(Adr!E:E,Doklady!B102+1)</f>
        <v>Nevädzová 17211/6B,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20620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20620</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8" t="s">
        <v>329</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5">
      <c r="B3" s="160" t="s">
        <v>59</v>
      </c>
      <c r="C3" s="339" t="str">
        <f>INDEX(Adr!B2:B151,Doklady!B102)</f>
        <v>Slovenská asociácia amerického futbalu</v>
      </c>
      <c r="D3" s="339"/>
      <c r="E3" s="339"/>
      <c r="F3" s="339"/>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30787009</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Nevädzová 17211/6B, Bratislava, 821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0" t="s">
        <v>334</v>
      </c>
      <c r="F9" s="34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1">
        <f>SUMIF(K:K,A10,I:I)</f>
        <v>0</v>
      </c>
      <c r="F10" s="332"/>
      <c r="L10" s="120" t="s">
        <v>335</v>
      </c>
      <c r="M10" s="118"/>
      <c r="N10" s="118"/>
      <c r="O10" s="118"/>
      <c r="P10" s="118"/>
      <c r="Q10" s="118"/>
      <c r="R10" s="118"/>
      <c r="S10" s="118"/>
    </row>
    <row r="11" spans="1:26" ht="17.399999999999999" x14ac:dyDescent="0.3">
      <c r="A11" s="69" t="s">
        <v>319</v>
      </c>
      <c r="B11" s="70" t="s">
        <v>320</v>
      </c>
      <c r="C11" s="126">
        <f>SUMIF(FP!J:J,Doklady!$B$1&amp;A11,FP!D:D)</f>
        <v>20620</v>
      </c>
      <c r="D11" s="126">
        <f>+C11-E11</f>
        <v>20620</v>
      </c>
      <c r="E11" s="342">
        <f>+I39-I42+I44-I47</f>
        <v>0</v>
      </c>
      <c r="F11" s="343"/>
      <c r="J11" s="176"/>
      <c r="L11" s="161" t="str">
        <f>L41</f>
        <v>a - americký futbal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1">
        <f>SUMIF(K:K,A12,I:I)</f>
        <v>0</v>
      </c>
      <c r="F12" s="332"/>
      <c r="J12" s="177"/>
      <c r="L12" s="161" t="str">
        <f>L42</f>
        <v>a - americký futbal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6" t="s">
        <v>340</v>
      </c>
      <c r="C17" s="346"/>
      <c r="D17" s="346"/>
      <c r="E17" s="346"/>
      <c r="F17" s="346"/>
      <c r="G17" s="346"/>
      <c r="H17" s="346"/>
      <c r="I17" s="73">
        <f>SUMIF(FP!I:I,Doklady!$B$1&amp;A17,FP!D:D)</f>
        <v>20620</v>
      </c>
      <c r="T17" s="86"/>
    </row>
    <row r="18" spans="1:20" x14ac:dyDescent="0.2">
      <c r="A18" s="135" t="s">
        <v>341</v>
      </c>
      <c r="B18" s="346" t="s">
        <v>342</v>
      </c>
      <c r="C18" s="346"/>
      <c r="D18" s="346"/>
      <c r="E18" s="346"/>
      <c r="F18" s="346"/>
      <c r="G18" s="346"/>
      <c r="H18" s="346"/>
      <c r="I18" s="73">
        <f>SUMIF(FP!I:I,Doklady!$B$1&amp;A18,FP!D:D)</f>
        <v>0</v>
      </c>
    </row>
    <row r="19" spans="1:20" x14ac:dyDescent="0.2">
      <c r="A19" s="115" t="s">
        <v>343</v>
      </c>
      <c r="B19" s="346" t="s">
        <v>344</v>
      </c>
      <c r="C19" s="346"/>
      <c r="D19" s="346"/>
      <c r="E19" s="346"/>
      <c r="F19" s="346"/>
      <c r="G19" s="346"/>
      <c r="H19" s="346"/>
      <c r="I19" s="73">
        <f>SUMIF(FP!I:I,Doklady!$B$1&amp;A19,FP!D:D)</f>
        <v>0</v>
      </c>
    </row>
    <row r="20" spans="1:20" x14ac:dyDescent="0.2">
      <c r="A20" s="135" t="s">
        <v>345</v>
      </c>
      <c r="B20" s="335" t="s">
        <v>346</v>
      </c>
      <c r="C20" s="336"/>
      <c r="D20" s="336"/>
      <c r="E20" s="336"/>
      <c r="F20" s="336"/>
      <c r="G20" s="336"/>
      <c r="H20" s="337"/>
      <c r="I20" s="73">
        <f>SUMIF(FP!I:I,Doklady!$B$1&amp;A20,FP!D:D)</f>
        <v>0</v>
      </c>
      <c r="T20" s="86"/>
    </row>
    <row r="21" spans="1:20" x14ac:dyDescent="0.2">
      <c r="A21" s="115" t="s">
        <v>347</v>
      </c>
      <c r="B21" s="335" t="s">
        <v>348</v>
      </c>
      <c r="C21" s="336"/>
      <c r="D21" s="336"/>
      <c r="E21" s="336"/>
      <c r="F21" s="336"/>
      <c r="G21" s="336"/>
      <c r="H21" s="337"/>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35" t="s">
        <v>352</v>
      </c>
      <c r="C23" s="336"/>
      <c r="D23" s="336"/>
      <c r="E23" s="336"/>
      <c r="F23" s="336"/>
      <c r="G23" s="336"/>
      <c r="H23" s="337"/>
      <c r="I23" s="73">
        <f>SUMIF(FP!I:I,Doklady!$B$1&amp;A23,FP!D:D)</f>
        <v>0</v>
      </c>
      <c r="T23" s="86"/>
    </row>
    <row r="24" spans="1:20" x14ac:dyDescent="0.2">
      <c r="A24" s="135" t="s">
        <v>353</v>
      </c>
      <c r="B24" s="335" t="s">
        <v>354</v>
      </c>
      <c r="C24" s="336"/>
      <c r="D24" s="336"/>
      <c r="E24" s="336"/>
      <c r="F24" s="336"/>
      <c r="G24" s="336"/>
      <c r="H24" s="337"/>
      <c r="I24" s="73">
        <f>SUMIF(FP!I:I,Doklady!$B$1&amp;A24,FP!D:D)</f>
        <v>0</v>
      </c>
      <c r="T24" s="86"/>
    </row>
    <row r="25" spans="1:20" x14ac:dyDescent="0.2">
      <c r="A25" s="115" t="s">
        <v>355</v>
      </c>
      <c r="B25" s="347" t="s">
        <v>2282</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americký futbal</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4124</v>
      </c>
      <c r="D39" s="78">
        <f>I39*0.2</f>
        <v>4124</v>
      </c>
      <c r="E39" s="78">
        <f>I39*0.25</f>
        <v>5155</v>
      </c>
      <c r="F39" s="78">
        <f>+I39*0.15</f>
        <v>3093</v>
      </c>
      <c r="G39" s="78">
        <f>+MAX(I39-C39-D39-E39-F39-H39,0)</f>
        <v>4124</v>
      </c>
      <c r="H39" s="78">
        <f>+IFERROR(VLOOKUP(K40&amp;" - kapitálové transfery",B$53:C$90,2,0),0)</f>
        <v>0</v>
      </c>
      <c r="I39" s="73">
        <f>SUMIF(FP!K:K,K40,FP!D:D)</f>
        <v>20620</v>
      </c>
      <c r="L39" s="84">
        <f>COUNTIF(FP!N:N,Doklady!B1&amp;"aK")</f>
        <v>0</v>
      </c>
      <c r="T39" s="86"/>
    </row>
    <row r="40" spans="1:21" x14ac:dyDescent="0.2">
      <c r="A40" s="115" t="s">
        <v>339</v>
      </c>
      <c r="B40" s="116" t="s">
        <v>373</v>
      </c>
      <c r="C40" s="78">
        <f>DSUM(Doklady!A103:J10000,"GGG",Spolu!L40:M42)</f>
        <v>4237.5</v>
      </c>
      <c r="D40" s="78">
        <f>DSUM(Doklady!A103:J10000,"GGG",Spolu!N40:O42)</f>
        <v>4809.2800000000007</v>
      </c>
      <c r="E40" s="78">
        <f>DSUM(Doklady!A103:J10000,"GGG",Spolu!P40:Q42)</f>
        <v>10846.410000000002</v>
      </c>
      <c r="F40" s="78">
        <f>DSUM(Doklady!A103:J10000,"GGG",Spolu!R40:S42)</f>
        <v>726.81</v>
      </c>
      <c r="G40" s="78">
        <f>DSUM(Doklady!A103:J10000,"GGG",Spolu!T40:U42)-H40</f>
        <v>0</v>
      </c>
      <c r="H40" s="78">
        <f>+IFERROR(VLOOKUP(K40&amp;" - kapitálové transfery",B$53:D$90,3,0),0)</f>
        <v>0</v>
      </c>
      <c r="I40" s="73">
        <f>+C40+D40+E40+F40+G40+H40</f>
        <v>20620.000000000004</v>
      </c>
      <c r="J40" s="218" t="str">
        <f>+K45</f>
        <v>.</v>
      </c>
      <c r="K40" s="218" t="str">
        <f>IF(L38&gt;0,INDEX(FP!K:K,Doklady!B2),".")</f>
        <v>americký futbal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americký futbal - bežné transfery</v>
      </c>
      <c r="M41" s="120">
        <v>1</v>
      </c>
      <c r="N41" s="161" t="str">
        <f>+L41</f>
        <v>a - americký futbal - bežné transfery</v>
      </c>
      <c r="O41" s="120">
        <v>2</v>
      </c>
      <c r="P41" s="161" t="str">
        <f>+L41</f>
        <v>a - americký futbal - bežné transfery</v>
      </c>
      <c r="Q41" s="120">
        <v>3</v>
      </c>
      <c r="R41" s="161" t="str">
        <f>+L41</f>
        <v>a - americký futbal - bežné transfery</v>
      </c>
      <c r="S41" s="120">
        <v>4</v>
      </c>
      <c r="T41" s="161" t="str">
        <f>+L41</f>
        <v>a - americký futbal - bežné transfery</v>
      </c>
      <c r="U41" s="120">
        <v>5</v>
      </c>
    </row>
    <row r="42" spans="1:21" ht="10.5" customHeight="1" x14ac:dyDescent="0.2">
      <c r="A42" s="115" t="s">
        <v>339</v>
      </c>
      <c r="B42" s="116" t="s">
        <v>376</v>
      </c>
      <c r="C42" s="73">
        <f>+C40</f>
        <v>4237.5</v>
      </c>
      <c r="D42" s="216">
        <f>+D40</f>
        <v>4809.2800000000007</v>
      </c>
      <c r="E42" s="216">
        <f>+E40</f>
        <v>10846.410000000002</v>
      </c>
      <c r="F42" s="216">
        <f>+MIN(F39:F40)</f>
        <v>726.81</v>
      </c>
      <c r="G42" s="216">
        <f>+MIN(G39+MAX(F39-F40,0)-MAX(E40-E39,0)-MAX(D40-D39,0)-MAX(C40-C39,0),G40)</f>
        <v>-1.8189894035458565E-12</v>
      </c>
      <c r="H42" s="216">
        <f>+MIN(H39:H40)</f>
        <v>0</v>
      </c>
      <c r="I42" s="73">
        <f>+C42+D42+E42+MIN(F39:F40)+G42+H42</f>
        <v>20620</v>
      </c>
      <c r="J42" s="219">
        <f>+K47</f>
        <v>0</v>
      </c>
      <c r="K42" s="219">
        <f>+I42-H42</f>
        <v>20620</v>
      </c>
      <c r="L42" s="161" t="str">
        <f>+SUBSTITUTE(L41,"bežné","kapitálové")</f>
        <v>a - americký futbal - kapitálové transfery</v>
      </c>
      <c r="M42" s="120">
        <v>1</v>
      </c>
      <c r="N42" s="161" t="str">
        <f>+L42</f>
        <v>a - americký futbal - kapitálové transfery</v>
      </c>
      <c r="O42" s="120">
        <v>2</v>
      </c>
      <c r="P42" s="161" t="str">
        <f>+L42</f>
        <v>a - americký futbal - kapitálové transfery</v>
      </c>
      <c r="Q42" s="120">
        <v>3</v>
      </c>
      <c r="R42" s="161" t="str">
        <f>+L42</f>
        <v>a - americký futbal - kapitálové transfery</v>
      </c>
      <c r="S42" s="120">
        <v>4</v>
      </c>
      <c r="T42" s="161" t="str">
        <f>+L42</f>
        <v>a - americký futbal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americký futbal - bežné transfery</v>
      </c>
      <c r="C53" s="73">
        <f>IF(A53&lt;&gt;"",INDEX(FP!D:D,Doklady!B$2+(ROW()-53)),"")</f>
        <v>20620</v>
      </c>
      <c r="D53" s="73">
        <f>IF(A53&lt;&gt;"",Doklady!I1-Doklady!J1,"")</f>
        <v>20620</v>
      </c>
      <c r="E53" s="73">
        <f>IF(A53&lt;&gt;"",MIN(D53,C53)*Doklady!C1/(1-Doklady!C1),"")</f>
        <v>0</v>
      </c>
      <c r="F53" s="71">
        <f>IF(A53&lt;&gt;"",Doklady!J1,"")</f>
        <v>0</v>
      </c>
      <c r="G53" s="73">
        <f>+IFERROR(HLOOKUP(IF(RIGHT(B53,15)="bežné transfery",LEFT(B53,LEN(B53)-18),0),$J$40:$K$42,3,0),MIN(C53,D53))</f>
        <v>20620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20620</v>
      </c>
      <c r="D130" s="228">
        <f t="shared" ref="D130:I130" si="9">SUM(D53:D129)</f>
        <v>20620</v>
      </c>
      <c r="E130" s="228">
        <f t="shared" si="9"/>
        <v>0</v>
      </c>
      <c r="F130" s="228">
        <f t="shared" si="9"/>
        <v>0</v>
      </c>
      <c r="G130" s="228">
        <f t="shared" si="9"/>
        <v>20620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50"/>
      <c r="E140" s="350"/>
      <c r="F140" s="350"/>
      <c r="G140" s="350"/>
      <c r="H140" s="350"/>
      <c r="I140" s="350"/>
      <c r="J140" s="85"/>
    </row>
    <row r="141" spans="1:26" ht="68.25" customHeight="1" x14ac:dyDescent="0.25">
      <c r="A141" s="9"/>
      <c r="B141" s="283" t="s">
        <v>393</v>
      </c>
      <c r="C141" s="214"/>
      <c r="D141" s="330" t="s">
        <v>394</v>
      </c>
      <c r="E141" s="330"/>
      <c r="F141" s="330"/>
      <c r="G141" s="330"/>
      <c r="H141" s="330"/>
      <c r="I141" s="33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9" priority="43" stopIfTrue="1" operator="lessThanOrEqual">
      <formula>0</formula>
    </cfRule>
    <cfRule type="cellIs" dxfId="108" priority="44" stopIfTrue="1" operator="greaterThan">
      <formula>0</formula>
    </cfRule>
  </conditionalFormatting>
  <conditionalFormatting sqref="D53:D129">
    <cfRule type="expression" dxfId="107" priority="31" stopIfTrue="1">
      <formula>$C53=$D53</formula>
    </cfRule>
    <cfRule type="expression" dxfId="106" priority="33" stopIfTrue="1">
      <formula>$C53&lt;&gt;$D53</formula>
    </cfRule>
  </conditionalFormatting>
  <conditionalFormatting sqref="E9:F9">
    <cfRule type="expression" dxfId="105" priority="38" stopIfTrue="1">
      <formula>SUM($E$10:$F$14)&gt;0</formula>
    </cfRule>
  </conditionalFormatting>
  <conditionalFormatting sqref="G53:G129">
    <cfRule type="expression" dxfId="104" priority="13" stopIfTrue="1">
      <formula>$C53=$G53</formula>
    </cfRule>
    <cfRule type="expression" dxfId="103" priority="14" stopIfTrue="1">
      <formula>$C53&lt;&gt;$G53</formula>
    </cfRule>
  </conditionalFormatting>
  <conditionalFormatting sqref="I42">
    <cfRule type="cellIs" dxfId="102" priority="1" stopIfTrue="1" operator="greaterThan">
      <formula>0</formula>
    </cfRule>
  </conditionalFormatting>
  <conditionalFormatting sqref="I47">
    <cfRule type="cellIs" dxfId="101" priority="15" stopIfTrue="1" operator="greaterThan">
      <formula>0</formula>
    </cfRule>
  </conditionalFormatting>
  <conditionalFormatting sqref="I53:I129">
    <cfRule type="cellIs" dxfId="100" priority="40" stopIfTrue="1" operator="equal">
      <formula>0</formula>
    </cfRule>
    <cfRule type="cellIs" dxfId="9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9" zoomScaleNormal="100" workbookViewId="0">
      <selection activeCell="B123" sqref="B12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americký futbal - bežné transfery</v>
      </c>
      <c r="B1" s="232" t="str">
        <f>INDEX(Adr!A:A,B102+1)</f>
        <v>30787009</v>
      </c>
      <c r="C1" s="233">
        <f>IF(ROW()&lt;=B$3,INDEX(FP!E:E,B$2+ROW()-1),"")</f>
        <v>0</v>
      </c>
      <c r="D1" s="234" t="str">
        <f>IF(ROW()&lt;=B$3,INDEX(FP!F:F,B$2+ROW()-1),"")</f>
        <v>a</v>
      </c>
      <c r="E1" s="234"/>
      <c r="F1" s="234" t="str">
        <f>IF(ROW()&lt;=B$3,INDEX(FP!G:G,B$2+ROW()-1),"")</f>
        <v>026 02</v>
      </c>
      <c r="G1" s="234"/>
      <c r="H1" s="235" t="str">
        <f>IF(ROW()&lt;=B$3,INDEX(FP!C:C,B$2+ROW()-1),"")</f>
        <v>americký futbal - bežné transfery</v>
      </c>
      <c r="I1" s="236">
        <f t="shared" ref="I1:I6" si="0">IF(ROW()&lt;=B$3,SUMIF(A$107:A$10042,A1,I$107:I$10042),"")</f>
        <v>20620</v>
      </c>
      <c r="J1" s="236">
        <f t="shared" ref="J1:J32" si="1">IF(ROW()&lt;=B$3,SUMIFS(I$103:I$50042,A$103:A$50042,K1,J$103:J$50042,L1),"")</f>
        <v>0</v>
      </c>
      <c r="K1" s="110" t="str">
        <f>$A1</f>
        <v>a - americký futbal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61" t="s">
        <v>329</v>
      </c>
      <c r="B100" s="361"/>
      <c r="C100" s="361"/>
      <c r="D100" s="361"/>
      <c r="E100" s="361"/>
      <c r="F100" s="361"/>
      <c r="G100" s="361"/>
      <c r="H100" s="361"/>
      <c r="I100" s="363" t="s">
        <v>2271</v>
      </c>
      <c r="J100" s="363"/>
      <c r="K100" s="89"/>
    </row>
    <row r="101" spans="1:25" ht="15.6" x14ac:dyDescent="0.3">
      <c r="A101" s="361"/>
      <c r="B101" s="361"/>
      <c r="C101" s="361"/>
      <c r="D101" s="361"/>
      <c r="E101" s="361"/>
      <c r="F101" s="361"/>
      <c r="G101" s="361"/>
      <c r="H101" s="361"/>
      <c r="I101" s="362">
        <v>45887</v>
      </c>
      <c r="J101" s="362"/>
    </row>
    <row r="102" spans="1:25" ht="13.8" x14ac:dyDescent="0.25">
      <c r="A102" s="249" t="s">
        <v>399</v>
      </c>
      <c r="B102" s="250">
        <v>28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2293</v>
      </c>
      <c r="B107" s="14" t="s">
        <v>2384</v>
      </c>
      <c r="C107" s="14" t="s">
        <v>2336</v>
      </c>
      <c r="D107" s="16">
        <v>45920</v>
      </c>
      <c r="E107" s="16"/>
      <c r="F107" s="14" t="s">
        <v>2375</v>
      </c>
      <c r="G107" s="14" t="s">
        <v>2335</v>
      </c>
      <c r="H107" s="14" t="s">
        <v>2334</v>
      </c>
      <c r="I107" s="15">
        <v>633.66</v>
      </c>
      <c r="J107" s="77">
        <v>2</v>
      </c>
      <c r="K107" s="92"/>
    </row>
    <row r="108" spans="1:25" ht="20.399999999999999" x14ac:dyDescent="0.25">
      <c r="A108" s="14" t="s">
        <v>2293</v>
      </c>
      <c r="B108" s="14" t="s">
        <v>2385</v>
      </c>
      <c r="C108" s="14" t="s">
        <v>2332</v>
      </c>
      <c r="D108" s="16">
        <v>45923</v>
      </c>
      <c r="E108" s="16"/>
      <c r="F108" s="14" t="s">
        <v>2294</v>
      </c>
      <c r="G108" s="14" t="s">
        <v>2333</v>
      </c>
      <c r="H108" s="14" t="s">
        <v>2331</v>
      </c>
      <c r="I108" s="15">
        <v>600</v>
      </c>
      <c r="J108" s="77">
        <v>3</v>
      </c>
      <c r="K108" s="92"/>
    </row>
    <row r="109" spans="1:25" ht="13.2" x14ac:dyDescent="0.25">
      <c r="A109" s="14" t="s">
        <v>2293</v>
      </c>
      <c r="B109" s="14" t="s">
        <v>2387</v>
      </c>
      <c r="C109" s="14" t="s">
        <v>2346</v>
      </c>
      <c r="D109" s="16">
        <v>45839</v>
      </c>
      <c r="E109" s="16"/>
      <c r="F109" s="14" t="s">
        <v>2295</v>
      </c>
      <c r="G109" s="14" t="s">
        <v>2345</v>
      </c>
      <c r="H109" s="14" t="s">
        <v>2344</v>
      </c>
      <c r="I109" s="15">
        <v>320.49</v>
      </c>
      <c r="J109" s="77">
        <v>2</v>
      </c>
      <c r="K109" s="92"/>
    </row>
    <row r="110" spans="1:25" ht="20.399999999999999" x14ac:dyDescent="0.25">
      <c r="A110" s="14" t="s">
        <v>2293</v>
      </c>
      <c r="B110" s="14" t="s">
        <v>2386</v>
      </c>
      <c r="C110" s="14" t="s">
        <v>2360</v>
      </c>
      <c r="D110" s="16">
        <v>45853</v>
      </c>
      <c r="E110" s="16"/>
      <c r="F110" s="14" t="s">
        <v>2354</v>
      </c>
      <c r="G110" s="14" t="s">
        <v>2352</v>
      </c>
      <c r="H110" s="14" t="s">
        <v>2353</v>
      </c>
      <c r="I110" s="15">
        <v>99.02</v>
      </c>
      <c r="J110" s="77">
        <v>4</v>
      </c>
      <c r="K110" s="92"/>
    </row>
    <row r="111" spans="1:25" ht="20.399999999999999" x14ac:dyDescent="0.25">
      <c r="A111" s="14" t="s">
        <v>2293</v>
      </c>
      <c r="B111" s="14" t="s">
        <v>2388</v>
      </c>
      <c r="C111" s="14" t="s">
        <v>2361</v>
      </c>
      <c r="D111" s="16">
        <v>45882</v>
      </c>
      <c r="E111" s="16"/>
      <c r="F111" s="14" t="s">
        <v>2355</v>
      </c>
      <c r="G111" s="14" t="s">
        <v>2352</v>
      </c>
      <c r="H111" s="14" t="s">
        <v>2353</v>
      </c>
      <c r="I111" s="15">
        <v>99.02</v>
      </c>
      <c r="J111" s="77">
        <v>4</v>
      </c>
      <c r="K111" s="92"/>
    </row>
    <row r="112" spans="1:25" ht="20.399999999999999" x14ac:dyDescent="0.25">
      <c r="A112" s="14" t="s">
        <v>2293</v>
      </c>
      <c r="B112" s="14" t="s">
        <v>2384</v>
      </c>
      <c r="C112" s="14" t="s">
        <v>2362</v>
      </c>
      <c r="D112" s="16">
        <v>45916</v>
      </c>
      <c r="E112" s="16"/>
      <c r="F112" s="14" t="s">
        <v>2356</v>
      </c>
      <c r="G112" s="14" t="s">
        <v>2352</v>
      </c>
      <c r="H112" s="14" t="s">
        <v>2353</v>
      </c>
      <c r="I112" s="15">
        <v>99.02</v>
      </c>
      <c r="J112" s="77">
        <v>4</v>
      </c>
      <c r="K112" s="92"/>
    </row>
    <row r="113" spans="1:11" ht="20.399999999999999" x14ac:dyDescent="0.25">
      <c r="A113" s="14" t="s">
        <v>2293</v>
      </c>
      <c r="B113" s="14" t="s">
        <v>2389</v>
      </c>
      <c r="C113" s="14" t="s">
        <v>2363</v>
      </c>
      <c r="D113" s="16">
        <v>45950</v>
      </c>
      <c r="E113" s="16"/>
      <c r="F113" s="14" t="s">
        <v>2357</v>
      </c>
      <c r="G113" s="14" t="s">
        <v>2352</v>
      </c>
      <c r="H113" s="14" t="s">
        <v>2353</v>
      </c>
      <c r="I113" s="15">
        <v>99.02</v>
      </c>
      <c r="J113" s="77">
        <v>4</v>
      </c>
      <c r="K113" s="92"/>
    </row>
    <row r="114" spans="1:11" ht="20.399999999999999" x14ac:dyDescent="0.25">
      <c r="A114" s="14" t="s">
        <v>2293</v>
      </c>
      <c r="B114" s="14" t="s">
        <v>2390</v>
      </c>
      <c r="C114" s="14" t="s">
        <v>2364</v>
      </c>
      <c r="D114" s="16">
        <v>45967</v>
      </c>
      <c r="E114" s="16"/>
      <c r="F114" s="14" t="s">
        <v>2358</v>
      </c>
      <c r="G114" s="14" t="s">
        <v>2352</v>
      </c>
      <c r="H114" s="14" t="s">
        <v>2353</v>
      </c>
      <c r="I114" s="15">
        <v>99.02</v>
      </c>
      <c r="J114" s="77">
        <v>4</v>
      </c>
      <c r="K114" s="92"/>
    </row>
    <row r="115" spans="1:11" ht="20.399999999999999" x14ac:dyDescent="0.25">
      <c r="A115" s="14" t="s">
        <v>2293</v>
      </c>
      <c r="B115" s="14" t="s">
        <v>2391</v>
      </c>
      <c r="C115" s="14" t="s">
        <v>2365</v>
      </c>
      <c r="D115" s="16">
        <v>46020</v>
      </c>
      <c r="E115" s="16"/>
      <c r="F115" s="14" t="s">
        <v>2359</v>
      </c>
      <c r="G115" s="14" t="s">
        <v>2352</v>
      </c>
      <c r="H115" s="14" t="s">
        <v>2353</v>
      </c>
      <c r="I115" s="15">
        <v>99.02</v>
      </c>
      <c r="J115" s="77">
        <v>4</v>
      </c>
      <c r="K115" s="92"/>
    </row>
    <row r="116" spans="1:11" ht="20.399999999999999" x14ac:dyDescent="0.25">
      <c r="A116" s="14" t="s">
        <v>2293</v>
      </c>
      <c r="B116" s="14" t="s">
        <v>2386</v>
      </c>
      <c r="C116" s="14" t="s">
        <v>2342</v>
      </c>
      <c r="D116" s="16">
        <v>45856</v>
      </c>
      <c r="E116" s="16"/>
      <c r="F116" s="14" t="s">
        <v>2375</v>
      </c>
      <c r="G116" s="14" t="s">
        <v>2343</v>
      </c>
      <c r="H116" s="14" t="s">
        <v>2341</v>
      </c>
      <c r="I116" s="15">
        <v>300</v>
      </c>
      <c r="J116" s="77">
        <v>1</v>
      </c>
      <c r="K116" s="92"/>
    </row>
    <row r="117" spans="1:11" ht="13.2" x14ac:dyDescent="0.25">
      <c r="A117" s="14" t="s">
        <v>2293</v>
      </c>
      <c r="B117" s="14" t="s">
        <v>2392</v>
      </c>
      <c r="C117" s="14" t="s">
        <v>2349</v>
      </c>
      <c r="D117" s="16">
        <v>45884</v>
      </c>
      <c r="E117" s="16"/>
      <c r="F117" s="14" t="s">
        <v>2372</v>
      </c>
      <c r="G117" s="14" t="s">
        <v>2348</v>
      </c>
      <c r="H117" s="14" t="s">
        <v>2347</v>
      </c>
      <c r="I117" s="15">
        <v>1080</v>
      </c>
      <c r="J117" s="77">
        <v>2</v>
      </c>
      <c r="K117" s="92"/>
    </row>
    <row r="118" spans="1:11" ht="20.399999999999999" x14ac:dyDescent="0.25">
      <c r="A118" s="14" t="s">
        <v>2293</v>
      </c>
      <c r="B118" s="14" t="s">
        <v>2393</v>
      </c>
      <c r="C118" s="14" t="s">
        <v>2351</v>
      </c>
      <c r="D118" s="16">
        <v>45884</v>
      </c>
      <c r="E118" s="16"/>
      <c r="F118" s="14" t="s">
        <v>2376</v>
      </c>
      <c r="G118" s="14" t="s">
        <v>2345</v>
      </c>
      <c r="H118" s="14" t="s">
        <v>2344</v>
      </c>
      <c r="I118" s="15">
        <v>92.25</v>
      </c>
      <c r="J118" s="77">
        <v>3</v>
      </c>
      <c r="K118" s="92"/>
    </row>
    <row r="119" spans="1:11" ht="20.399999999999999" x14ac:dyDescent="0.25">
      <c r="A119" s="14" t="s">
        <v>2293</v>
      </c>
      <c r="B119" s="14" t="s">
        <v>2394</v>
      </c>
      <c r="C119" s="14" t="s">
        <v>2350</v>
      </c>
      <c r="D119" s="16">
        <v>45884</v>
      </c>
      <c r="E119" s="16"/>
      <c r="F119" s="14" t="s">
        <v>2376</v>
      </c>
      <c r="G119" s="14" t="s">
        <v>2345</v>
      </c>
      <c r="H119" s="14" t="s">
        <v>2344</v>
      </c>
      <c r="I119" s="15">
        <v>92.25</v>
      </c>
      <c r="J119" s="77">
        <v>3</v>
      </c>
      <c r="K119" s="92"/>
    </row>
    <row r="120" spans="1:11" ht="13.2" x14ac:dyDescent="0.25">
      <c r="A120" s="14" t="s">
        <v>2293</v>
      </c>
      <c r="B120" s="14" t="s">
        <v>2395</v>
      </c>
      <c r="C120" s="14" t="s">
        <v>2339</v>
      </c>
      <c r="D120" s="16">
        <v>45888</v>
      </c>
      <c r="E120" s="16"/>
      <c r="F120" s="14" t="s">
        <v>2373</v>
      </c>
      <c r="G120" s="14" t="s">
        <v>2340</v>
      </c>
      <c r="H120" s="14" t="s">
        <v>2338</v>
      </c>
      <c r="I120" s="15">
        <v>54.85</v>
      </c>
      <c r="J120" s="77">
        <v>3</v>
      </c>
      <c r="K120" s="92"/>
    </row>
    <row r="121" spans="1:11" ht="30.6" x14ac:dyDescent="0.25">
      <c r="A121" s="14" t="s">
        <v>2293</v>
      </c>
      <c r="B121" s="14" t="s">
        <v>2385</v>
      </c>
      <c r="C121" s="14" t="s">
        <v>2299</v>
      </c>
      <c r="D121" s="16">
        <v>45902</v>
      </c>
      <c r="E121" s="16"/>
      <c r="F121" s="14" t="s">
        <v>2370</v>
      </c>
      <c r="G121" s="14"/>
      <c r="H121" s="14" t="s">
        <v>2298</v>
      </c>
      <c r="I121" s="15">
        <v>3744</v>
      </c>
      <c r="J121" s="77">
        <v>3</v>
      </c>
      <c r="K121" s="92"/>
    </row>
    <row r="122" spans="1:11" ht="30.6" x14ac:dyDescent="0.25">
      <c r="A122" s="14" t="s">
        <v>2293</v>
      </c>
      <c r="B122" s="14" t="s">
        <v>2404</v>
      </c>
      <c r="C122" s="14" t="s">
        <v>2382</v>
      </c>
      <c r="D122" s="16">
        <v>45909</v>
      </c>
      <c r="E122" s="16"/>
      <c r="F122" s="14" t="s">
        <v>2374</v>
      </c>
      <c r="G122" s="14"/>
      <c r="H122" s="14" t="s">
        <v>2337</v>
      </c>
      <c r="I122" s="15">
        <f>3528-996.54</f>
        <v>2531.46</v>
      </c>
      <c r="J122" s="77">
        <v>3</v>
      </c>
      <c r="K122" s="92"/>
    </row>
    <row r="123" spans="1:11" ht="13.2" x14ac:dyDescent="0.25">
      <c r="A123" s="14" t="s">
        <v>2293</v>
      </c>
      <c r="B123" s="14" t="s">
        <v>2389</v>
      </c>
      <c r="C123" s="14" t="s">
        <v>2377</v>
      </c>
      <c r="D123" s="16">
        <v>45950</v>
      </c>
      <c r="E123" s="16"/>
      <c r="F123" s="14" t="s">
        <v>2372</v>
      </c>
      <c r="G123" s="14" t="s">
        <v>2348</v>
      </c>
      <c r="H123" s="14" t="s">
        <v>2347</v>
      </c>
      <c r="I123" s="15">
        <v>1215</v>
      </c>
      <c r="J123" s="77">
        <v>2</v>
      </c>
      <c r="K123" s="92"/>
    </row>
    <row r="124" spans="1:11" ht="30.6" x14ac:dyDescent="0.25">
      <c r="A124" s="14" t="s">
        <v>2293</v>
      </c>
      <c r="B124" s="14" t="s">
        <v>2396</v>
      </c>
      <c r="C124" s="14" t="s">
        <v>2382</v>
      </c>
      <c r="D124" s="16">
        <v>45957</v>
      </c>
      <c r="E124" s="16"/>
      <c r="F124" s="14" t="s">
        <v>2383</v>
      </c>
      <c r="G124" s="14"/>
      <c r="H124" s="14" t="s">
        <v>2337</v>
      </c>
      <c r="I124" s="15">
        <v>500</v>
      </c>
      <c r="J124" s="77">
        <v>3</v>
      </c>
      <c r="K124" s="92"/>
    </row>
    <row r="125" spans="1:11" ht="30.6" x14ac:dyDescent="0.25">
      <c r="A125" s="14" t="s">
        <v>2293</v>
      </c>
      <c r="B125" s="14" t="s">
        <v>2397</v>
      </c>
      <c r="C125" s="14" t="s">
        <v>2300</v>
      </c>
      <c r="D125" s="16">
        <v>45957</v>
      </c>
      <c r="E125" s="16"/>
      <c r="F125" s="14" t="s">
        <v>2371</v>
      </c>
      <c r="G125" s="14"/>
      <c r="H125" s="14" t="s">
        <v>2298</v>
      </c>
      <c r="I125" s="15">
        <v>2223</v>
      </c>
      <c r="J125" s="77">
        <v>3</v>
      </c>
      <c r="K125" s="92"/>
    </row>
    <row r="126" spans="1:11" ht="30.6" x14ac:dyDescent="0.25">
      <c r="A126" s="14" t="s">
        <v>2293</v>
      </c>
      <c r="B126" s="14" t="s">
        <v>2398</v>
      </c>
      <c r="C126" s="14" t="s">
        <v>2297</v>
      </c>
      <c r="D126" s="16">
        <v>45967</v>
      </c>
      <c r="E126" s="16"/>
      <c r="F126" s="14" t="s">
        <v>2369</v>
      </c>
      <c r="G126" s="14" t="s">
        <v>2378</v>
      </c>
      <c r="H126" s="14" t="s">
        <v>2296</v>
      </c>
      <c r="I126" s="15">
        <v>1560.13</v>
      </c>
      <c r="J126" s="77">
        <v>2</v>
      </c>
      <c r="K126" s="92"/>
    </row>
    <row r="127" spans="1:11" ht="13.2" x14ac:dyDescent="0.25">
      <c r="A127" s="14" t="s">
        <v>2293</v>
      </c>
      <c r="B127" s="14" t="s">
        <v>2399</v>
      </c>
      <c r="C127" s="14"/>
      <c r="D127" s="16">
        <v>45980</v>
      </c>
      <c r="E127" s="16"/>
      <c r="F127" s="14" t="s">
        <v>2368</v>
      </c>
      <c r="G127" s="14" t="s">
        <v>2366</v>
      </c>
      <c r="H127" s="14" t="s">
        <v>2367</v>
      </c>
      <c r="I127" s="15">
        <v>132.69</v>
      </c>
      <c r="J127" s="77">
        <v>4</v>
      </c>
      <c r="K127" s="92"/>
    </row>
    <row r="128" spans="1:11" ht="13.2" x14ac:dyDescent="0.25">
      <c r="A128" s="14" t="s">
        <v>2293</v>
      </c>
      <c r="B128" s="14" t="s">
        <v>2391</v>
      </c>
      <c r="C128" s="14" t="s">
        <v>2379</v>
      </c>
      <c r="D128" s="16">
        <v>46009</v>
      </c>
      <c r="E128" s="16"/>
      <c r="F128" s="14" t="s">
        <v>2372</v>
      </c>
      <c r="G128" s="14" t="s">
        <v>2381</v>
      </c>
      <c r="H128" s="14" t="s">
        <v>2380</v>
      </c>
      <c r="I128" s="15">
        <v>1008.6</v>
      </c>
      <c r="J128" s="77">
        <v>3</v>
      </c>
      <c r="K128" s="92"/>
    </row>
    <row r="129" spans="1:11" ht="30.6" x14ac:dyDescent="0.25">
      <c r="A129" s="14" t="s">
        <v>2293</v>
      </c>
      <c r="B129" s="14" t="s">
        <v>2400</v>
      </c>
      <c r="C129" s="14" t="s">
        <v>2325</v>
      </c>
      <c r="D129" s="16">
        <v>46013</v>
      </c>
      <c r="E129" s="16"/>
      <c r="F129" s="14" t="s">
        <v>2330</v>
      </c>
      <c r="G129" s="14" t="s">
        <v>2323</v>
      </c>
      <c r="H129" s="14" t="s">
        <v>2324</v>
      </c>
      <c r="I129" s="15">
        <v>1125</v>
      </c>
      <c r="J129" s="77">
        <v>1</v>
      </c>
      <c r="K129" s="92"/>
    </row>
    <row r="130" spans="1:11" ht="20.399999999999999" x14ac:dyDescent="0.25">
      <c r="A130" s="14" t="s">
        <v>2293</v>
      </c>
      <c r="B130" s="14" t="s">
        <v>2401</v>
      </c>
      <c r="C130" s="14" t="s">
        <v>2328</v>
      </c>
      <c r="D130" s="16">
        <v>46022</v>
      </c>
      <c r="E130" s="16">
        <v>45824</v>
      </c>
      <c r="F130" s="14" t="s">
        <v>2329</v>
      </c>
      <c r="G130" s="14" t="s">
        <v>2326</v>
      </c>
      <c r="H130" s="14" t="s">
        <v>2327</v>
      </c>
      <c r="I130" s="15">
        <v>1125</v>
      </c>
      <c r="J130" s="77">
        <v>1</v>
      </c>
      <c r="K130" s="92"/>
    </row>
    <row r="131" spans="1:11" ht="20.399999999999999" x14ac:dyDescent="0.25">
      <c r="A131" s="14" t="s">
        <v>2293</v>
      </c>
      <c r="B131" s="14" t="s">
        <v>2402</v>
      </c>
      <c r="C131" s="14" t="s">
        <v>2312</v>
      </c>
      <c r="D131" s="16">
        <v>46013</v>
      </c>
      <c r="E131" s="16">
        <v>45991</v>
      </c>
      <c r="F131" s="14" t="s">
        <v>2309</v>
      </c>
      <c r="G131" s="14" t="s">
        <v>2301</v>
      </c>
      <c r="H131" s="14" t="s">
        <v>2302</v>
      </c>
      <c r="I131" s="15">
        <v>21</v>
      </c>
      <c r="J131" s="77">
        <v>1</v>
      </c>
      <c r="K131" s="92"/>
    </row>
    <row r="132" spans="1:11" ht="20.399999999999999" x14ac:dyDescent="0.25">
      <c r="A132" s="14" t="s">
        <v>2293</v>
      </c>
      <c r="B132" s="14" t="s">
        <v>2402</v>
      </c>
      <c r="C132" s="14" t="s">
        <v>2313</v>
      </c>
      <c r="D132" s="16">
        <v>46013</v>
      </c>
      <c r="E132" s="16">
        <v>46003</v>
      </c>
      <c r="F132" s="14" t="s">
        <v>2310</v>
      </c>
      <c r="G132" s="14" t="s">
        <v>2303</v>
      </c>
      <c r="H132" s="14" t="s">
        <v>2304</v>
      </c>
      <c r="I132" s="15">
        <v>192</v>
      </c>
      <c r="J132" s="77">
        <v>1</v>
      </c>
      <c r="K132" s="92"/>
    </row>
    <row r="133" spans="1:11" ht="20.399999999999999" x14ac:dyDescent="0.25">
      <c r="A133" s="14" t="s">
        <v>2293</v>
      </c>
      <c r="B133" s="14" t="s">
        <v>2402</v>
      </c>
      <c r="C133" s="14" t="s">
        <v>2314</v>
      </c>
      <c r="D133" s="16">
        <v>46013</v>
      </c>
      <c r="E133" s="16">
        <v>46009</v>
      </c>
      <c r="F133" s="14" t="s">
        <v>2310</v>
      </c>
      <c r="G133" s="14" t="s">
        <v>2305</v>
      </c>
      <c r="H133" s="14" t="s">
        <v>2306</v>
      </c>
      <c r="I133" s="15">
        <v>240</v>
      </c>
      <c r="J133" s="77">
        <v>1</v>
      </c>
      <c r="K133" s="92"/>
    </row>
    <row r="134" spans="1:11" ht="20.399999999999999" x14ac:dyDescent="0.25">
      <c r="A134" s="14" t="s">
        <v>2293</v>
      </c>
      <c r="B134" s="14" t="s">
        <v>2402</v>
      </c>
      <c r="C134" s="14" t="s">
        <v>2314</v>
      </c>
      <c r="D134" s="16">
        <v>46013</v>
      </c>
      <c r="E134" s="16">
        <v>46009</v>
      </c>
      <c r="F134" s="14" t="s">
        <v>2310</v>
      </c>
      <c r="G134" s="14" t="s">
        <v>2305</v>
      </c>
      <c r="H134" s="14" t="s">
        <v>2306</v>
      </c>
      <c r="I134" s="15">
        <v>180</v>
      </c>
      <c r="J134" s="77">
        <v>1</v>
      </c>
      <c r="K134" s="92"/>
    </row>
    <row r="135" spans="1:11" ht="20.399999999999999" x14ac:dyDescent="0.25">
      <c r="A135" s="14" t="s">
        <v>2293</v>
      </c>
      <c r="B135" s="14" t="s">
        <v>2402</v>
      </c>
      <c r="C135" s="14" t="s">
        <v>2315</v>
      </c>
      <c r="D135" s="16">
        <v>46013</v>
      </c>
      <c r="E135" s="16">
        <v>46009</v>
      </c>
      <c r="F135" s="14" t="s">
        <v>2311</v>
      </c>
      <c r="G135" s="14" t="s">
        <v>2307</v>
      </c>
      <c r="H135" s="14" t="s">
        <v>2308</v>
      </c>
      <c r="I135" s="15">
        <v>492</v>
      </c>
      <c r="J135" s="77">
        <v>1</v>
      </c>
      <c r="K135" s="92"/>
    </row>
    <row r="136" spans="1:11" ht="30.6" x14ac:dyDescent="0.25">
      <c r="A136" s="14" t="s">
        <v>2293</v>
      </c>
      <c r="B136" s="14" t="s">
        <v>2403</v>
      </c>
      <c r="C136" s="14" t="s">
        <v>2319</v>
      </c>
      <c r="D136" s="16">
        <v>46013</v>
      </c>
      <c r="E136" s="16">
        <v>45750</v>
      </c>
      <c r="F136" s="14" t="s">
        <v>2321</v>
      </c>
      <c r="G136" s="14"/>
      <c r="H136" s="14" t="s">
        <v>2316</v>
      </c>
      <c r="I136" s="15">
        <v>540</v>
      </c>
      <c r="J136" s="77">
        <v>1</v>
      </c>
      <c r="K136" s="92"/>
    </row>
    <row r="137" spans="1:11" ht="20.399999999999999" x14ac:dyDescent="0.25">
      <c r="A137" s="14" t="s">
        <v>2293</v>
      </c>
      <c r="B137" s="14" t="s">
        <v>2403</v>
      </c>
      <c r="C137" s="14" t="s">
        <v>2320</v>
      </c>
      <c r="D137" s="16">
        <v>46013</v>
      </c>
      <c r="E137" s="16">
        <v>45785</v>
      </c>
      <c r="F137" s="14" t="s">
        <v>2322</v>
      </c>
      <c r="G137" s="14" t="s">
        <v>2317</v>
      </c>
      <c r="H137" s="14" t="s">
        <v>2318</v>
      </c>
      <c r="I137" s="15">
        <v>22.5</v>
      </c>
      <c r="J137" s="77">
        <v>1</v>
      </c>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8" priority="45" stopIfTrue="1">
      <formula>$A1055&lt;&gt;""</formula>
    </cfRule>
  </conditionalFormatting>
  <conditionalFormatting sqref="A1112:H1113">
    <cfRule type="expression" dxfId="97" priority="56" stopIfTrue="1">
      <formula>$A1112&lt;&gt;""</formula>
    </cfRule>
  </conditionalFormatting>
  <conditionalFormatting sqref="I110:J115 A138:J5000 I127:J127 G117:J117 G128:J128 G121:J125 A107:J109 A110:F113 C114:F115 C121:E125 C118:J120 C116:J116 C127:E128 C117:E117 C129:J137 C126:J126 A114:B137">
    <cfRule type="expression" dxfId="96" priority="16" stopIfTrue="1">
      <formula>$A107&lt;&gt;""</formula>
    </cfRule>
  </conditionalFormatting>
  <conditionalFormatting sqref="B472:E477">
    <cfRule type="expression" dxfId="95" priority="147" stopIfTrue="1">
      <formula>$A472&lt;&gt;""</formula>
    </cfRule>
  </conditionalFormatting>
  <conditionalFormatting sqref="B484:E488">
    <cfRule type="expression" dxfId="94" priority="182" stopIfTrue="1">
      <formula>$A484&lt;&gt;""</formula>
    </cfRule>
  </conditionalFormatting>
  <conditionalFormatting sqref="B689:E689">
    <cfRule type="expression" dxfId="93" priority="74" stopIfTrue="1">
      <formula>$A689&lt;&gt;""</formula>
    </cfRule>
  </conditionalFormatting>
  <conditionalFormatting sqref="B691:E691 H691:I691 B692:I693 B694:E699 H694:I699">
    <cfRule type="expression" dxfId="92" priority="34" stopIfTrue="1">
      <formula>$A691&lt;&gt;""</formula>
    </cfRule>
  </conditionalFormatting>
  <conditionalFormatting sqref="B701:E701 H701:I701">
    <cfRule type="expression" dxfId="91" priority="25" stopIfTrue="1">
      <formula>$A701&lt;&gt;""</formula>
    </cfRule>
  </conditionalFormatting>
  <conditionalFormatting sqref="B819:E819">
    <cfRule type="expression" dxfId="90" priority="97" stopIfTrue="1">
      <formula>$A819&lt;&gt;""</formula>
    </cfRule>
  </conditionalFormatting>
  <conditionalFormatting sqref="B1110:E1110">
    <cfRule type="expression" dxfId="89" priority="143" stopIfTrue="1">
      <formula>$A1110&lt;&gt;""</formula>
    </cfRule>
  </conditionalFormatting>
  <conditionalFormatting sqref="B1114:E1114">
    <cfRule type="expression" dxfId="88" priority="199" stopIfTrue="1">
      <formula>$A1114&lt;&gt;""</formula>
    </cfRule>
  </conditionalFormatting>
  <conditionalFormatting sqref="B1131:E1136">
    <cfRule type="expression" dxfId="87" priority="189" stopIfTrue="1">
      <formula>$A1131&lt;&gt;""</formula>
    </cfRule>
  </conditionalFormatting>
  <conditionalFormatting sqref="B1138:E1148">
    <cfRule type="expression" dxfId="86" priority="57" stopIfTrue="1">
      <formula>$A1138&lt;&gt;""</formula>
    </cfRule>
  </conditionalFormatting>
  <conditionalFormatting sqref="B1152:E1152">
    <cfRule type="expression" dxfId="85" priority="83" stopIfTrue="1">
      <formula>$A1152&lt;&gt;""</formula>
    </cfRule>
  </conditionalFormatting>
  <conditionalFormatting sqref="B1253:E1260 I1253:J1270">
    <cfRule type="expression" dxfId="84" priority="133" stopIfTrue="1">
      <formula>$A1253&lt;&gt;""</formula>
    </cfRule>
  </conditionalFormatting>
  <conditionalFormatting sqref="B1293:E1301">
    <cfRule type="expression" dxfId="83" priority="168" stopIfTrue="1">
      <formula>$A1293&lt;&gt;""</formula>
    </cfRule>
  </conditionalFormatting>
  <conditionalFormatting sqref="B1303:E1326">
    <cfRule type="expression" dxfId="82" priority="47" stopIfTrue="1">
      <formula>$A1303&lt;&gt;""</formula>
    </cfRule>
  </conditionalFormatting>
  <conditionalFormatting sqref="B1360:E1363">
    <cfRule type="expression" dxfId="81" priority="64" stopIfTrue="1">
      <formula>$A1360&lt;&gt;""</formula>
    </cfRule>
  </conditionalFormatting>
  <conditionalFormatting sqref="B1365:E1367">
    <cfRule type="expression" dxfId="80" priority="269" stopIfTrue="1">
      <formula>$A1365&lt;&gt;""</formula>
    </cfRule>
  </conditionalFormatting>
  <conditionalFormatting sqref="B1369:E1379">
    <cfRule type="expression" dxfId="79" priority="88" stopIfTrue="1">
      <formula>$A1369&lt;&gt;""</formula>
    </cfRule>
  </conditionalFormatting>
  <conditionalFormatting sqref="B1393:E1404">
    <cfRule type="expression" dxfId="78" priority="126" stopIfTrue="1">
      <formula>$A1393&lt;&gt;""</formula>
    </cfRule>
  </conditionalFormatting>
  <conditionalFormatting sqref="B1412:E1450">
    <cfRule type="expression" dxfId="77" priority="163" stopIfTrue="1">
      <formula>$A1412&lt;&gt;""</formula>
    </cfRule>
  </conditionalFormatting>
  <conditionalFormatting sqref="B1453:E1458">
    <cfRule type="expression" dxfId="76" priority="233" stopIfTrue="1">
      <formula>$A1453&lt;&gt;""</formula>
    </cfRule>
  </conditionalFormatting>
  <conditionalFormatting sqref="B489:G489">
    <cfRule type="expression" dxfId="75" priority="183" stopIfTrue="1">
      <formula>$A489&lt;&gt;""</formula>
    </cfRule>
  </conditionalFormatting>
  <conditionalFormatting sqref="B478:H483">
    <cfRule type="expression" dxfId="74" priority="203" stopIfTrue="1">
      <formula>$A478&lt;&gt;""</formula>
    </cfRule>
  </conditionalFormatting>
  <conditionalFormatting sqref="B490:H496">
    <cfRule type="expression" dxfId="73" priority="159" stopIfTrue="1">
      <formula>$A490&lt;&gt;""</formula>
    </cfRule>
  </conditionalFormatting>
  <conditionalFormatting sqref="B1067:H1082">
    <cfRule type="expression" dxfId="72" priority="229" stopIfTrue="1">
      <formula>$A1067&lt;&gt;""</formula>
    </cfRule>
  </conditionalFormatting>
  <conditionalFormatting sqref="B1272:H1274 B1275:E1288 H1275:H1288">
    <cfRule type="expression" dxfId="71" priority="158" stopIfTrue="1">
      <formula>$A1272&lt;&gt;""</formula>
    </cfRule>
  </conditionalFormatting>
  <conditionalFormatting sqref="B1290:H1292">
    <cfRule type="expression" dxfId="70" priority="53" stopIfTrue="1">
      <formula>$A1290&lt;&gt;""</formula>
    </cfRule>
  </conditionalFormatting>
  <conditionalFormatting sqref="B1364:H1364">
    <cfRule type="expression" dxfId="69" priority="299" stopIfTrue="1">
      <formula>$A1364&lt;&gt;""</formula>
    </cfRule>
  </conditionalFormatting>
  <conditionalFormatting sqref="B1380:H1385">
    <cfRule type="expression" dxfId="68" priority="27" stopIfTrue="1">
      <formula>$A1380&lt;&gt;""</formula>
    </cfRule>
  </conditionalFormatting>
  <conditionalFormatting sqref="B1410:H1411">
    <cfRule type="expression" dxfId="67" priority="206" stopIfTrue="1">
      <formula>$A1410&lt;&gt;""</formula>
    </cfRule>
  </conditionalFormatting>
  <conditionalFormatting sqref="B175:I189 I190:I227 B190:E241">
    <cfRule type="expression" dxfId="66" priority="256" stopIfTrue="1">
      <formula>$A175&lt;&gt;""</formula>
    </cfRule>
  </conditionalFormatting>
  <conditionalFormatting sqref="B242:I242 B243:E275">
    <cfRule type="expression" dxfId="65" priority="270" stopIfTrue="1">
      <formula>$A242&lt;&gt;""</formula>
    </cfRule>
  </conditionalFormatting>
  <conditionalFormatting sqref="B276:I320">
    <cfRule type="expression" dxfId="64" priority="103" stopIfTrue="1">
      <formula>$A276&lt;&gt;""</formula>
    </cfRule>
  </conditionalFormatting>
  <conditionalFormatting sqref="B497:I499">
    <cfRule type="expression" dxfId="63" priority="105" stopIfTrue="1">
      <formula>$A497&lt;&gt;""</formula>
    </cfRule>
  </conditionalFormatting>
  <conditionalFormatting sqref="B645:I688">
    <cfRule type="expression" dxfId="62" priority="266" stopIfTrue="1">
      <formula>$A645&lt;&gt;""</formula>
    </cfRule>
  </conditionalFormatting>
  <conditionalFormatting sqref="B690:I690">
    <cfRule type="expression" dxfId="61" priority="32" stopIfTrue="1">
      <formula>$A690&lt;&gt;""</formula>
    </cfRule>
  </conditionalFormatting>
  <conditionalFormatting sqref="B1137:I1137">
    <cfRule type="expression" dxfId="60" priority="157" stopIfTrue="1">
      <formula>$A1137&lt;&gt;""</formula>
    </cfRule>
  </conditionalFormatting>
  <conditionalFormatting sqref="B1149:I1151">
    <cfRule type="expression" dxfId="59" priority="26" stopIfTrue="1">
      <formula>$A1149&lt;&gt;""</formula>
    </cfRule>
  </conditionalFormatting>
  <conditionalFormatting sqref="B1153:I1157">
    <cfRule type="expression" dxfId="58" priority="28" stopIfTrue="1">
      <formula>$A1153&lt;&gt;""</formula>
    </cfRule>
  </conditionalFormatting>
  <conditionalFormatting sqref="B1271:I1271 I1272:I1288">
    <cfRule type="expression" dxfId="57" priority="161" stopIfTrue="1">
      <formula>$A1271&lt;&gt;""</formula>
    </cfRule>
  </conditionalFormatting>
  <conditionalFormatting sqref="B1368:I1368">
    <cfRule type="expression" dxfId="56" priority="156" stopIfTrue="1">
      <formula>$A1368&lt;&gt;""</formula>
    </cfRule>
  </conditionalFormatting>
  <conditionalFormatting sqref="B138:J163 C134:J137">
    <cfRule type="expression" dxfId="55" priority="79" stopIfTrue="1">
      <formula>$A134&lt;&gt;""</formula>
    </cfRule>
  </conditionalFormatting>
  <conditionalFormatting sqref="B360:J420">
    <cfRule type="expression" dxfId="54" priority="271" stopIfTrue="1">
      <formula>$A360&lt;&gt;""</formula>
    </cfRule>
  </conditionalFormatting>
  <conditionalFormatting sqref="B457:J458">
    <cfRule type="expression" dxfId="53" priority="232" stopIfTrue="1">
      <formula>$A457&lt;&gt;""</formula>
    </cfRule>
  </conditionalFormatting>
  <conditionalFormatting sqref="B599:J625">
    <cfRule type="expression" dxfId="52" priority="12" stopIfTrue="1">
      <formula>$A599&lt;&gt;""</formula>
    </cfRule>
  </conditionalFormatting>
  <conditionalFormatting sqref="B1053:J1054">
    <cfRule type="expression" dxfId="51" priority="227" stopIfTrue="1">
      <formula>$A1053&lt;&gt;""</formula>
    </cfRule>
  </conditionalFormatting>
  <conditionalFormatting sqref="B1127:J1130">
    <cfRule type="expression" dxfId="50" priority="17" stopIfTrue="1">
      <formula>$A1127&lt;&gt;""</formula>
    </cfRule>
  </conditionalFormatting>
  <conditionalFormatting sqref="B1158:J1252">
    <cfRule type="expression" dxfId="49" priority="43" stopIfTrue="1">
      <formula>$A1158&lt;&gt;""</formula>
    </cfRule>
  </conditionalFormatting>
  <conditionalFormatting sqref="B1406:J1406">
    <cfRule type="expression" dxfId="48" priority="208" stopIfTrue="1">
      <formula>$A1406&lt;&gt;""</formula>
    </cfRule>
  </conditionalFormatting>
  <conditionalFormatting sqref="B1461:J4374">
    <cfRule type="expression" dxfId="47" priority="52" stopIfTrue="1">
      <formula>$A1461&lt;&gt;""</formula>
    </cfRule>
  </conditionalFormatting>
  <conditionalFormatting sqref="F191:H195">
    <cfRule type="expression" dxfId="46" priority="134" stopIfTrue="1">
      <formula>$A191&lt;&gt;""</formula>
    </cfRule>
  </conditionalFormatting>
  <conditionalFormatting sqref="F198:H199">
    <cfRule type="expression" dxfId="45" priority="128" stopIfTrue="1">
      <formula>$A198&lt;&gt;""</formula>
    </cfRule>
  </conditionalFormatting>
  <conditionalFormatting sqref="F472:H473">
    <cfRule type="expression" dxfId="44" priority="149" stopIfTrue="1">
      <formula>$A472&lt;&gt;""</formula>
    </cfRule>
  </conditionalFormatting>
  <conditionalFormatting sqref="F476:H477">
    <cfRule type="expression" dxfId="43" priority="239" stopIfTrue="1">
      <formula>$A476&lt;&gt;""</formula>
    </cfRule>
  </conditionalFormatting>
  <conditionalFormatting sqref="F484:H486 H487:H489">
    <cfRule type="expression" dxfId="42" priority="181" stopIfTrue="1">
      <formula>$A484&lt;&gt;""</formula>
    </cfRule>
  </conditionalFormatting>
  <conditionalFormatting sqref="F1131:H1131">
    <cfRule type="expression" dxfId="41" priority="290" stopIfTrue="1">
      <formula>$A1131&lt;&gt;""</formula>
    </cfRule>
  </conditionalFormatting>
  <conditionalFormatting sqref="F1255:H1260">
    <cfRule type="expression" dxfId="40" priority="132" stopIfTrue="1">
      <formula>$A1255&lt;&gt;""</formula>
    </cfRule>
  </conditionalFormatting>
  <conditionalFormatting sqref="F170:I172">
    <cfRule type="expression" dxfId="39" priority="260" stopIfTrue="1">
      <formula>$A170&lt;&gt;""</formula>
    </cfRule>
  </conditionalFormatting>
  <conditionalFormatting sqref="F247:I247">
    <cfRule type="expression" dxfId="38" priority="16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7" priority="300" stopIfTrue="1">
      <formula>$A164&lt;&gt;""</formula>
    </cfRule>
  </conditionalFormatting>
  <conditionalFormatting sqref="H190">
    <cfRule type="expression" dxfId="36" priority="140" stopIfTrue="1">
      <formula>$A190&lt;&gt;""</formula>
    </cfRule>
  </conditionalFormatting>
  <conditionalFormatting sqref="H196:H197">
    <cfRule type="expression" dxfId="35" priority="129" stopIfTrue="1">
      <formula>$A196&lt;&gt;""</formula>
    </cfRule>
  </conditionalFormatting>
  <conditionalFormatting sqref="H200:H228">
    <cfRule type="expression" dxfId="34" priority="19" stopIfTrue="1">
      <formula>$A200&lt;&gt;""</formula>
    </cfRule>
  </conditionalFormatting>
  <conditionalFormatting sqref="H474:H475">
    <cfRule type="expression" dxfId="33" priority="153" stopIfTrue="1">
      <formula>$A474&lt;&gt;""</formula>
    </cfRule>
  </conditionalFormatting>
  <conditionalFormatting sqref="H1132:H1136">
    <cfRule type="expression" dxfId="32" priority="191" stopIfTrue="1">
      <formula>$A1132&lt;&gt;""</formula>
    </cfRule>
  </conditionalFormatting>
  <conditionalFormatting sqref="H1254">
    <cfRule type="expression" dxfId="31" priority="202" stopIfTrue="1">
      <formula>$A1254&lt;&gt;""</formula>
    </cfRule>
  </conditionalFormatting>
  <conditionalFormatting sqref="H1293:H1301">
    <cfRule type="expression" dxfId="30" priority="170" stopIfTrue="1">
      <formula>$A1293&lt;&gt;""</formula>
    </cfRule>
  </conditionalFormatting>
  <conditionalFormatting sqref="H1303:H1326">
    <cfRule type="expression" dxfId="29" priority="49" stopIfTrue="1">
      <formula>$A1303&lt;&gt;""</formula>
    </cfRule>
  </conditionalFormatting>
  <conditionalFormatting sqref="H1365:H1367">
    <cfRule type="expression" dxfId="28" priority="268" stopIfTrue="1">
      <formula>$A1365&lt;&gt;""</formula>
    </cfRule>
  </conditionalFormatting>
  <conditionalFormatting sqref="H1369:H1379">
    <cfRule type="expression" dxfId="27" priority="29" stopIfTrue="1">
      <formula>$A1369&lt;&gt;""</formula>
    </cfRule>
  </conditionalFormatting>
  <conditionalFormatting sqref="H1412">
    <cfRule type="expression" dxfId="26" priority="165" stopIfTrue="1">
      <formula>$A1412&lt;&gt;""</formula>
    </cfRule>
  </conditionalFormatting>
  <conditionalFormatting sqref="H1453:H1458">
    <cfRule type="expression" dxfId="25" priority="235" stopIfTrue="1">
      <formula>$A1453&lt;&gt;""</formula>
    </cfRule>
  </conditionalFormatting>
  <conditionalFormatting sqref="H173:I174">
    <cfRule type="expression" dxfId="24" priority="257" stopIfTrue="1">
      <formula>$A173&lt;&gt;""</formula>
    </cfRule>
  </conditionalFormatting>
  <conditionalFormatting sqref="H243:I246">
    <cfRule type="expression" dxfId="23" priority="259" stopIfTrue="1">
      <formula>$A243&lt;&gt;""</formula>
    </cfRule>
  </conditionalFormatting>
  <conditionalFormatting sqref="H248:I248">
    <cfRule type="expression" dxfId="22" priority="135" stopIfTrue="1">
      <formula>$A248&lt;&gt;""</formula>
    </cfRule>
  </conditionalFormatting>
  <conditionalFormatting sqref="H689:I689">
    <cfRule type="expression" dxfId="21" priority="76" stopIfTrue="1">
      <formula>$A689&lt;&gt;""</formula>
    </cfRule>
  </conditionalFormatting>
  <conditionalFormatting sqref="H1138:I1148">
    <cfRule type="expression" dxfId="20" priority="60" stopIfTrue="1">
      <formula>$A1138&lt;&gt;""</formula>
    </cfRule>
  </conditionalFormatting>
  <conditionalFormatting sqref="H1152:I1152">
    <cfRule type="expression" dxfId="19" priority="86" stopIfTrue="1">
      <formula>$A1152&lt;&gt;""</formula>
    </cfRule>
  </conditionalFormatting>
  <conditionalFormatting sqref="H1110:J1110">
    <cfRule type="expression" dxfId="18" priority="142" stopIfTrue="1">
      <formula>$A1110&lt;&gt;""</formula>
    </cfRule>
  </conditionalFormatting>
  <conditionalFormatting sqref="H1360:J1363">
    <cfRule type="expression" dxfId="17" priority="65" stopIfTrue="1">
      <formula>$A1360&lt;&gt;""</formula>
    </cfRule>
  </conditionalFormatting>
  <conditionalFormatting sqref="H1393:J1404">
    <cfRule type="expression" dxfId="16" priority="24" stopIfTrue="1">
      <formula>$A1393&lt;&gt;""</formula>
    </cfRule>
  </conditionalFormatting>
  <conditionalFormatting sqref="I472:I496">
    <cfRule type="expression" dxfId="15" priority="150" stopIfTrue="1">
      <formula>$A472&lt;&gt;""</formula>
    </cfRule>
  </conditionalFormatting>
  <conditionalFormatting sqref="I1369:I1385">
    <cfRule type="expression" dxfId="14" priority="92" stopIfTrue="1">
      <formula>$A1369&lt;&gt;""</formula>
    </cfRule>
  </conditionalFormatting>
  <conditionalFormatting sqref="I1290:J1359">
    <cfRule type="expression" dxfId="13" priority="172" stopIfTrue="1">
      <formula>$A1290&lt;&gt;""</formula>
    </cfRule>
  </conditionalFormatting>
  <conditionalFormatting sqref="I1410:J1447">
    <cfRule type="expression" dxfId="12" priority="167" stopIfTrue="1">
      <formula>$A1410&lt;&gt;""</formula>
    </cfRule>
  </conditionalFormatting>
  <conditionalFormatting sqref="I1451:J1458">
    <cfRule type="expression" dxfId="11" priority="265" stopIfTrue="1">
      <formula>$A1451&lt;&gt;""</formula>
    </cfRule>
  </conditionalFormatting>
  <conditionalFormatting sqref="J1137:J1157">
    <cfRule type="expression" dxfId="10" priority="292" stopIfTrue="1">
      <formula>$A1137&lt;&gt;""</formula>
    </cfRule>
  </conditionalFormatting>
  <conditionalFormatting sqref="G110:H115">
    <cfRule type="expression" dxfId="9" priority="10" stopIfTrue="1">
      <formula>$A110&lt;&gt;""</formula>
    </cfRule>
  </conditionalFormatting>
  <conditionalFormatting sqref="F121">
    <cfRule type="expression" dxfId="8" priority="9" stopIfTrue="1">
      <formula>$A121&lt;&gt;""</formula>
    </cfRule>
  </conditionalFormatting>
  <conditionalFormatting sqref="F125">
    <cfRule type="expression" dxfId="7" priority="8" stopIfTrue="1">
      <formula>$A125&lt;&gt;""</formula>
    </cfRule>
  </conditionalFormatting>
  <conditionalFormatting sqref="G127:H127">
    <cfRule type="expression" dxfId="6" priority="7" stopIfTrue="1">
      <formula>$A127&lt;&gt;""</formula>
    </cfRule>
  </conditionalFormatting>
  <conditionalFormatting sqref="F127">
    <cfRule type="expression" dxfId="5" priority="6" stopIfTrue="1">
      <formula>$A127&lt;&gt;""</formula>
    </cfRule>
  </conditionalFormatting>
  <conditionalFormatting sqref="F123">
    <cfRule type="expression" dxfId="4" priority="5" stopIfTrue="1">
      <formula>$A123&lt;&gt;""</formula>
    </cfRule>
  </conditionalFormatting>
  <conditionalFormatting sqref="F117">
    <cfRule type="expression" dxfId="3" priority="4" stopIfTrue="1">
      <formula>$A117&lt;&gt;""</formula>
    </cfRule>
  </conditionalFormatting>
  <conditionalFormatting sqref="F128">
    <cfRule type="expression" dxfId="2" priority="3" stopIfTrue="1">
      <formula>$A128&lt;&gt;""</formula>
    </cfRule>
  </conditionalFormatting>
  <conditionalFormatting sqref="F122">
    <cfRule type="expression" dxfId="1" priority="2" stopIfTrue="1">
      <formula>$A122&lt;&gt;""</formula>
    </cfRule>
  </conditionalFormatting>
  <conditionalFormatting sqref="F124">
    <cfRule type="expression" dxfId="0" priority="1" stopIfTrue="1">
      <formula>$A124&lt;&gt;""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8" t="str">
        <f>Spolu!C3&amp;", "&amp;Spolu!C6</f>
        <v>Slovenská asociácia amerického futbalu, Nevädzová 17211/6B, Bratislava, 821 01</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30787009</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Juraj Sopkuliak</cp:lastModifiedBy>
  <cp:revision/>
  <cp:lastPrinted>2025-01-23T13:30:36Z</cp:lastPrinted>
  <dcterms:created xsi:type="dcterms:W3CDTF">2017-02-20T06:20:12Z</dcterms:created>
  <dcterms:modified xsi:type="dcterms:W3CDTF">2026-04-14T10:12:50Z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