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bstz2\Desktop\ST Relax\Projekty\MCRaŠ 2025\vyučtovanie 2025\"/>
    </mc:Choice>
  </mc:AlternateContent>
  <xr:revisionPtr revIDLastSave="0" documentId="13_ncr:1_{8E14747E-F539-457E-8445-FAA3634BBF4B}" xr6:coauthVersionLast="47" xr6:coauthVersionMax="47" xr10:uidLastSave="{00000000-0000-0000-0000-000000000000}"/>
  <bookViews>
    <workbookView xWindow="-110" yWindow="-110" windowWidth="19420" windowHeight="104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<sst xmlns="http://schemas.openxmlformats.org/spreadsheetml/2006/main" count="6554" uniqueCount="3015">
  <si>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</si>
  <si>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</si>
  <si>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</si>
  <si>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</si>
  <si>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</si>
  <si>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</si>
  <si>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</si>
  <si>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</si>
  <si>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</si>
  <si>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</si>
  <si>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</si>
  <si>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</si>
  <si>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</si>
  <si>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</si>
  <si>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</si>
  <si>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</si>
  <si>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</si>
  <si>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</si>
  <si>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</si>
  <si>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</si>
  <si>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</si>
  <si>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</si>
  <si>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</si>
  <si>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</si>
  <si>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</si>
  <si>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</si>
  <si>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</si>
  <si>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</si>
  <si>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</si>
  <si>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</si>
  <si>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</si>
  <si>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</si>
  <si>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</si>
  <si>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</si>
  <si>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</si>
  <si>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</si>
  <si>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</si>
  <si>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</si>
  <si>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</si>
  <si>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</si>
  <si>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</si>
  <si>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</si>
  <si>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</si>
  <si>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</si>
  <si>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</si>
  <si>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</si>
  <si>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</si>
  <si>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</si>
  <si>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</si>
  <si>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</si>
  <si>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</si>
  <si>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</si>
  <si>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</si>
  <si>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</si>
  <si>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</si>
  <si>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</si>
  <si>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</si>
  <si>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</si>
  <si>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</si>
  <si>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</si>
  <si>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</si>
  <si>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</si>
  <si>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</si>
  <si>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</si>
  <si>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</si>
  <si>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</si>
  <si>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</si>
  <si>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</si>
  <si>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</si>
  <si>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</si>
  <si>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</si>
  <si>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</si>
  <si>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</si>
  <si>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</si>
  <si>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</si>
  <si>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</si>
  <si>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</si>
  <si>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</si>
  <si>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</si>
  <si>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</si>
  <si>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</si>
  <si>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</si>
  <si>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</si>
  <si>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</si>
  <si>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</si>
  <si>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</si>
  <si>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</si>
  <si>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</si>
  <si>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</si>
  <si>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</si>
  <si>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</si>
  <si>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</si>
  <si>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</si>
  <si>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</si>
  <si>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</si>
  <si>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</si>
  <si>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</si>
  <si>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</si>
  <si>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</si>
  <si>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</si>
  <si>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</si>
  <si>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</si>
  <si>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</si>
  <si>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</si>
  <si>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</si>
  <si>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</si>
  <si>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</si>
  <si>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</si>
  <si>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</si>
  <si>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</si>
  <si>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</si>
  <si>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</si>
  <si>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</si>
  <si>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</si>
  <si>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</si>
  <si>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</si>
  <si>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</si>
  <si>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</si>
  <si>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</si>
  <si>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</si>
  <si>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</si>
  <si>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</si>
  <si>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</si>
  <si>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</si>
  <si>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</si>
  <si>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</si>
  <si>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</si>
  <si>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</si>
  <si>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</si>
  <si>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</si>
  <si>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</si>
  <si>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</si>
  <si>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</si>
  <si>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</si>
  <si>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</si>
  <si>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</si>
  <si>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</si>
  <si>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</si>
  <si>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</si>
  <si>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</si>
  <si>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</si>
  <si>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</si>
  <si>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</si>
  <si>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</si>
  <si>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</si>
  <si>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</si>
  <si>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</si>
  <si>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</si>
  <si>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</si>
  <si>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</si>
  <si>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</si>
  <si>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</si>
  <si>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</si>
  <si>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</si>
  <si>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</si>
  <si>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</si>
  <si>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</si>
  <si>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</si>
  <si>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</si>
  <si>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</si>
  <si>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</si>
  <si>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</si>
  <si>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</si>
  <si>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</si>
  <si>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</si>
  <si>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</si>
  <si>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</si>
  <si>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</si>
  <si>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</si>
  <si>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</si>
  <si>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</si>
  <si>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</si>
  <si>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</si>
  <si>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</si>
  <si>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</si>
  <si>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</si>
  <si>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</si>
  <si>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</si>
  <si>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</si>
  <si>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</si>
  <si>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</si>
  <si>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</si>
  <si>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</si>
  <si>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</si>
  <si>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</si>
  <si>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</si>
  <si>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</si>
  <si>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</si>
  <si>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</si>
  <si>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</si>
  <si>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</si>
  <si>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</si>
  <si>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</si>
  <si>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</si>
  <si>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</si>
  <si>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</si>
  <si>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</si>
  <si>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</si>
  <si>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</si>
  <si>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</si>
  <si>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</si>
  <si>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</si>
  <si>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</si>
  <si>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</si>
  <si>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</si>
  <si>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</si>
  <si>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</si>
  <si>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</si>
  <si>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</si>
  <si>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</si>
  <si>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</si>
  <si>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</si>
  <si>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</si>
  <si>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</si>
  <si>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</si>
  <si>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</si>
  <si>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</si>
  <si>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</si>
  <si>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</si>
  <si>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</si>
  <si>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</si>
  <si>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</si>
  <si>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</si>
  <si>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</si>
  <si>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</si>
  <si>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</si>
  <si>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</si>
  <si>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</si>
  <si>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</si>
  <si>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</si>
  <si>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</si>
  <si>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</si>
  <si>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</si>
  <si>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</si>
  <si>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</si>
  <si>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</si>
  <si>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</si>
  <si>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</si>
  <si>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</si>
  <si>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</si>
  <si>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</si>
  <si>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</si>
  <si>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</si>
  <si>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</si>
  <si>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</si>
  <si>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</si>
  <si>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</si>
  <si>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</si>
  <si>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</si>
  <si>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</si>
  <si>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</si>
  <si>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</si>
  <si>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</si>
  <si>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</si>
  <si>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</si>
  <si>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</si>
  <si>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</si>
  <si>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</si>
  <si>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</si>
  <si>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</si>
  <si>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</si>
  <si>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</si>
  <si>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</si>
  <si>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</si>
  <si>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</si>
  <si>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</si>
  <si>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</si>
  <si>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</si>
  <si>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</si>
  <si>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</si>
  <si>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</si>
  <si>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</si>
  <si>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</si>
  <si>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</si>
  <si>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</si>
  <si>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</si>
  <si>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</si>
  <si>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</si>
  <si>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</si>
  <si>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</si>
  <si>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</si>
  <si>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</si>
  <si>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</si>
  <si>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</si>
  <si>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</si>
  <si>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</si>
  <si>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</si>
  <si>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</si>
  <si>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</si>
  <si>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</si>
  <si>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</si>
  <si>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</si>
  <si>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</si>
  <si>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</si>
  <si>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</si>
  <si>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</si>
  <si>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</si>
  <si>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</si>
  <si>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</si>
  <si>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</si>
  <si>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</si>
  <si>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</si>
  <si>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</si>
  <si>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</si>
  <si>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</si>
  <si>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</si>
  <si>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</si>
  <si>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</si>
  <si>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</si>
  <si>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</si>
  <si>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</si>
  <si>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</si>
  <si>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</si>
  <si>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</si>
  <si>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</si>
  <si>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</si>
  <si>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</si>
  <si>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</si>
  <si>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</si>
  <si>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</si>
  <si>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</si>
  <si>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</si>
  <si>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</si>
  <si>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</si>
  <si>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</si>
  <si>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</si>
  <si>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</si>
  <si>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</si>
  <si>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</si>
  <si>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</si>
  <si>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</si>
  <si>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</si>
  <si>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</si>
  <si>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</si>
  <si>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</si>
  <si>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</si>
  <si>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</si>
  <si>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</si>
  <si>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</si>
  <si>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</si>
  <si>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</si>
  <si>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</si>
  <si>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</si>
  <si>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</si>
  <si>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</si>
  <si>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</si>
  <si>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</si>
  <si>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</si>
  <si>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</si>
  <si>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</si>
  <si>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</si>
  <si>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</si>
  <si>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</si>
  <si>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</si>
  <si>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</si>
  <si>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</si>
  <si>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</si>
  <si>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</si>
  <si>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</si>
  <si>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</si>
  <si>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</si>
  <si>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</si>
  <si>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</si>
  <si>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</si>
  <si>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</si>
  <si>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</si>
  <si>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</si>
  <si>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</si>
  <si>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</si>
  <si>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</si>
  <si>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</si>
  <si>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</si>
  <si>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</si>
  <si>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</si>
  <si>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</si>
  <si>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</si>
  <si>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</si>
  <si>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</si>
  <si>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</si>
  <si>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</si>
  <si>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</si>
  <si>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</si>
  <si>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</si>
  <si>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</si>
  <si>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</si>
  <si>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</si>
  <si>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</si>
  <si>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</si>
  <si>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</si>
  <si>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</si>
  <si>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</si>
  <si>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</si>
  <si>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</si>
  <si>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</si>
  <si>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</si>
  <si>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</si>
  <si>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</si>
  <si>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</si>
  <si>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</si>
  <si>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</si>
  <si>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</si>
  <si>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</si>
  <si>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</si>
  <si>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</si>
  <si>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</si>
  <si>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</si>
  <si>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</si>
  <si>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</si>
  <si>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</si>
  <si>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</si>
  <si>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</si>
  <si>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</si>
  <si>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</si>
  <si>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</si>
  <si>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</si>
  <si>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</si>
  <si>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</si>
  <si>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</si>
  <si>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</si>
  <si>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</si>
  <si>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</si>
  <si>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</si>
  <si>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</si>
  <si>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</si>
  <si>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</si>
  <si>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</si>
  <si>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</si>
  <si>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</si>
  <si>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</si>
  <si>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</si>
  <si>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</si>
  <si>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</si>
  <si>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</si>
  <si>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</si>
  <si>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</si>
  <si>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</si>
  <si>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</si>
  <si>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</si>
  <si>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</si>
  <si>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</si>
  <si>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</si>
  <si>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</si>
  <si>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</si>
  <si>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</si>
  <si>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</si>
  <si>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</si>
  <si>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</si>
  <si>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</si>
  <si>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</si>
  <si>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</si>
  <si>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</si>
  <si>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</si>
  <si>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</si>
  <si>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</si>
  <si>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</si>
  <si>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</si>
  <si>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</si>
  <si>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</si>
  <si>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</si>
  <si>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</si>
  <si>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</si>
  <si>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</si>
  <si>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</si>
  <si>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</si>
  <si>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</si>
  <si>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</si>
  <si>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</si>
  <si>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</si>
  <si>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</si>
  <si>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</si>
  <si>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</si>
  <si>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</si>
  <si>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</si>
  <si>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</si>
  <si>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</si>
  <si>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</si>
  <si>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</si>
  <si>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</si>
  <si>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</si>
  <si>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</si>
  <si>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</si>
  <si>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</si>
  <si>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</si>
  <si>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</si>
  <si>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</si>
  <si>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</si>
  <si>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</si>
  <si>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</si>
  <si>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</si>
  <si>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</si>
  <si>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</si>
  <si>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</si>
  <si>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</si>
  <si>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</si>
  <si>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</si>
  <si>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</si>
  <si>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</si>
  <si>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</si>
  <si>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</si>
  <si>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</si>
  <si>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</si>
  <si>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</si>
  <si>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</si>
  <si>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</si>
  <si>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</si>
  <si>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</si>
  <si>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</si>
  <si>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</si>
  <si>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</si>
  <si>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</si>
  <si>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</si>
  <si>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</si>
  <si>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</si>
  <si>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</si>
  <si>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</si>
  <si>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</si>
  <si>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</si>
  <si>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</si>
  <si>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</si>
  <si>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</si>
  <si>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</si>
  <si>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</si>
  <si>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</si>
  <si>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</si>
  <si>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</si>
  <si>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</si>
  <si>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</si>
  <si>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</si>
  <si>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</si>
  <si>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</si>
  <si>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</si>
  <si>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</si>
  <si>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</si>
  <si>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</si>
  <si>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</si>
  <si>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</si>
  <si>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</si>
  <si>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</si>
  <si>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</si>
  <si>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</si>
  <si>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</si>
  <si>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</si>
  <si>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</si>
  <si>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</si>
  <si>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</si>
  <si>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</si>
  <si>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</si>
  <si>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</si>
  <si>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</si>
  <si>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</si>
  <si>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</si>
  <si>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</si>
  <si>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</si>
  <si>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</si>
  <si>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</si>
  <si>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</si>
  <si>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</si>
  <si>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</si>
  <si>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</si>
  <si>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</si>
  <si>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</si>
  <si>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</si>
  <si>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</si>
  <si>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</si>
  <si>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</si>
  <si>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</si>
  <si>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</si>
  <si>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</si>
  <si>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</si>
  <si>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</si>
  <si>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</si>
  <si>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</si>
  <si>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</si>
  <si>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</si>
  <si>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</si>
  <si>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</si>
  <si>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</si>
  <si>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</si>
  <si>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</si>
  <si>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</si>
  <si>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</si>
  <si>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</si>
  <si>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</si>
  <si>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</si>
  <si>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</si>
  <si>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</si>
  <si>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</si>
  <si>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</si>
  <si>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</si>
  <si>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</si>
  <si>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</si>
  <si>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</si>
  <si>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</si>
  <si>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</si>
  <si>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</si>
  <si>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</si>
  <si>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</si>
  <si>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</si>
  <si>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</si>
  <si>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</si>
  <si>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</si>
  <si>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</si>
  <si>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</si>
  <si>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</si>
  <si>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</si>
  <si>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</si>
  <si>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</si>
  <si>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</si>
  <si>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</si>
  <si>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</si>
  <si>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</si>
  <si>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</si>
  <si>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</si>
  <si>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</si>
  <si>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</si>
  <si>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</si>
  <si>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</si>
  <si>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</si>
  <si>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</si>
  <si>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</si>
  <si>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</si>
  <si>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</si>
  <si>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</si>
  <si>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</si>
  <si>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</si>
  <si>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</si>
  <si>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</si>
  <si>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</si>
  <si>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</si>
  <si>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</si>
  <si>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</si>
  <si>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</si>
  <si>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</si>
  <si>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</si>
  <si>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</si>
  <si>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</si>
  <si>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</si>
  <si>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</si>
  <si>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</si>
  <si>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</si>
  <si>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</si>
  <si>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</si>
  <si>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</si>
  <si>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</si>
  <si>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</si>
  <si>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</si>
  <si>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</si>
  <si>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</si>
  <si>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</si>
  <si>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</si>
  <si>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</si>
  <si>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</si>
  <si>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</si>
  <si>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</si>
  <si>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</si>
  <si>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</si>
  <si>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</si>
  <si>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</si>
  <si>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</si>
  <si>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</si>
  <si>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</si>
  <si>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</si>
  <si>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</si>
  <si>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</si>
  <si>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</si>
  <si>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</si>
  <si>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</si>
  <si>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</si>
  <si>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</si>
  <si>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</si>
  <si>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</si>
  <si>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</si>
  <si>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</si>
  <si>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</si>
  <si>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</si>
  <si>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</si>
  <si>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</si>
  <si>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</si>
  <si>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</si>
  <si>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</si>
  <si>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</si>
  <si>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</si>
  <si>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</si>
  <si>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</si>
  <si>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</si>
  <si>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</si>
  <si>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</si>
  <si>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</si>
  <si>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</si>
  <si>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</si>
  <si>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</si>
  <si>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</si>
  <si>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</si>
  <si>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</si>
  <si>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</si>
  <si>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</si>
  <si>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</si>
  <si>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</si>
  <si>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</si>
  <si>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</si>
  <si>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</si>
  <si>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</si>
  <si>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</si>
  <si>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</si>
  <si>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</si>
  <si>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</si>
  <si>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</si>
  <si>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</si>
  <si>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</si>
  <si>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</si>
  <si>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</si>
  <si>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</si>
  <si>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</si>
  <si>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</si>
  <si>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</si>
  <si>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</si>
  <si>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</si>
  <si>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</si>
  <si>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</si>
  <si>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</si>
  <si>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</si>
  <si>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</si>
  <si>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</si>
  <si>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</si>
  <si>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</si>
  <si>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</si>
  <si>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</si>
  <si>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</si>
  <si>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</si>
  <si>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</si>
  <si>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</si>
  <si>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</si>
  <si>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</si>
  <si>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</si>
  <si>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</si>
  <si>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</si>
  <si>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</si>
  <si>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</si>
  <si>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</si>
  <si>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</si>
  <si>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</si>
  <si>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</si>
  <si>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</si>
  <si>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</si>
  <si>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</si>
  <si>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</si>
  <si>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</si>
  <si>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</si>
  <si>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</si>
  <si>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</si>
  <si>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</si>
  <si>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</si>
  <si>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</si>
  <si>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</si>
  <si>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</si>
  <si>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</si>
  <si>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</si>
  <si>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</si>
  <si>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</si>
  <si>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</si>
  <si>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</si>
  <si>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</si>
  <si>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</si>
  <si>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</si>
  <si>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</si>
  <si>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</si>
  <si>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</si>
  <si>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</si>
  <si>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</si>
  <si>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</si>
  <si>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</si>
  <si>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</si>
  <si>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</si>
  <si>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</si>
  <si>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</si>
  <si>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</si>
  <si>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</si>
  <si>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</si>
  <si>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</si>
  <si>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</si>
  <si>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</si>
  <si>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</si>
  <si>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</si>
  <si>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</si>
  <si>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</si>
  <si>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</si>
  <si>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</si>
  <si>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</si>
  <si>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</si>
  <si>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</si>
  <si>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</si>
  <si>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</si>
  <si>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</si>
  <si>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</si>
  <si>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</si>
  <si>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</si>
  <si>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</si>
  <si>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</si>
  <si>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</si>
  <si>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</si>
  <si>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</si>
  <si>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</si>
  <si>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</si>
  <si>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</si>
  <si>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</si>
  <si>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</si>
  <si>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</si>
  <si>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</si>
  <si>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</si>
  <si>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</si>
  <si>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</si>
  <si>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</si>
  <si>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</si>
  <si>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</si>
  <si>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</si>
  <si>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</si>
  <si>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</si>
  <si>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</si>
  <si>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</si>
  <si>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</si>
  <si>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</si>
  <si>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</si>
  <si>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</si>
  <si>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</si>
  <si>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</si>
  <si>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</si>
  <si>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</si>
  <si>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</si>
  <si>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</si>
  <si>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</si>
  <si>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</si>
  <si>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</si>
  <si>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</si>
  <si>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</si>
  <si>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</si>
  <si>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</si>
  <si>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</si>
  <si>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</si>
  <si>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</si>
  <si>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</si>
  <si>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</si>
  <si>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</si>
  <si>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</si>
  <si>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</si>
  <si>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</si>
  <si>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</si>
  <si>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</si>
  <si>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</si>
  <si>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</si>
  <si>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</si>
  <si>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</si>
  <si>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</si>
  <si>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</si>
  <si>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</si>
  <si>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</si>
  <si>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</si>
  <si>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</si>
  <si>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</si>
  <si>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</si>
  <si>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</si>
  <si>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</si>
  <si>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</si>
  <si>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</si>
  <si>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</si>
  <si>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</si>
  <si>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</si>
  <si>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</si>
  <si>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</si>
  <si>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</si>
  <si>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</si>
  <si>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</si>
  <si>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</si>
  <si>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</si>
  <si>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</si>
  <si>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</si>
  <si>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</si>
  <si>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</si>
  <si>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</si>
  <si>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</si>
  <si>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</si>
  <si>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</si>
  <si>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</si>
  <si>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</si>
  <si>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</si>
  <si>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</si>
  <si>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</si>
  <si>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</si>
  <si>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</si>
  <si>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</si>
  <si>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</si>
  <si>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</si>
  <si>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</si>
  <si>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</si>
  <si>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</si>
  <si>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</si>
  <si>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</si>
  <si>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</si>
  <si>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</si>
  <si>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</si>
  <si>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</si>
  <si>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</si>
  <si>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</si>
  <si>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</si>
  <si>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</si>
  <si>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</si>
  <si>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</si>
  <si>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</si>
  <si>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</si>
  <si>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</si>
  <si>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</si>
  <si>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</si>
  <si>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</si>
  <si>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</si>
  <si>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</si>
  <si>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</si>
  <si>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</si>
  <si>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</si>
  <si>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</si>
  <si>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</si>
  <si>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</si>
  <si>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</si>
  <si>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</si>
  <si>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</si>
  <si>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</si>
  <si>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</si>
  <si>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</si>
  <si>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</si>
  <si>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</si>
  <si>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</si>
  <si>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</si>
  <si>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</si>
  <si>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</si>
  <si>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</si>
  <si>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</si>
  <si>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</si>
  <si>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</si>
  <si>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</si>
  <si>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</si>
  <si>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</si>
  <si>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</si>
  <si>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</si>
  <si>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</si>
  <si>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</si>
  <si>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</si>
  <si>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</si>
  <si>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</si>
  <si>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</si>
  <si>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</si>
  <si>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</si>
  <si>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</si>
  <si>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</si>
  <si>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</si>
  <si>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</si>
  <si>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</si>
  <si>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</si>
  <si>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</si>
  <si>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</si>
  <si>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</si>
  <si>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</si>
  <si>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</si>
  <si>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</si>
  <si>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</si>
  <si>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</si>
  <si>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</si>
  <si>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</si>
  <si>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</si>
  <si>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</si>
  <si>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</si>
  <si>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</si>
  <si>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</si>
  <si>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</si>
  <si>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</si>
  <si>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</si>
  <si>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</si>
  <si>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</si>
  <si>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</si>
  <si>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</si>
  <si>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</si>
  <si>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</si>
  <si>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</si>
  <si>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</si>
  <si>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</si>
  <si>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</si>
  <si>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</si>
  <si>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</si>
  <si>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</si>
  <si>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</si>
  <si>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</si>
  <si>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</si>
  <si>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</si>
  <si>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</si>
  <si>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</si>
  <si>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</si>
  <si>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</si>
  <si>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</si>
  <si>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</si>
  <si>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</si>
  <si>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</si>
  <si>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</si>
  <si>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</si>
  <si>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</si>
  <si>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</si>
  <si>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</si>
  <si>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</si>
  <si>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</si>
  <si>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</si>
  <si>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</si>
  <si>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</si>
  <si>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</si>
  <si>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</si>
  <si>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</si>
  <si>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</si>
  <si>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</si>
  <si>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</si>
  <si>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</si>
  <si>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</si>
  <si>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</si>
  <si>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</si>
  <si>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</si>
  <si>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</si>
  <si>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</si>
  <si>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</si>
  <si>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</si>
  <si>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</si>
  <si>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</si>
  <si>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</si>
  <si>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</si>
  <si>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</si>
  <si>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</si>
  <si>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</si>
  <si>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</si>
  <si>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</si>
  <si>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</si>
  <si>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</si>
  <si>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</si>
  <si>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</si>
  <si>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</si>
  <si>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</si>
  <si>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</si>
  <si>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</si>
  <si>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</si>
  <si>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</si>
  <si>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</si>
  <si>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</si>
  <si>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</si>
  <si>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</si>
  <si>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</si>
  <si>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</si>
  <si>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</si>
  <si>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</si>
  <si>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</si>
  <si>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</si>
  <si>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</si>
  <si>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</si>
  <si>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</si>
  <si>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</si>
  <si>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</si>
  <si>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</si>
  <si>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</si>
  <si>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</si>
  <si>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</si>
  <si>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</si>
  <si>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</si>
  <si>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</si>
  <si>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</si>
  <si>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</si>
  <si>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</si>
  <si>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</si>
  <si>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</si>
  <si>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</si>
  <si>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</si>
  <si>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</si>
  <si>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</si>
  <si>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</si>
  <si>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</si>
  <si>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</si>
  <si>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</si>
  <si>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</si>
  <si>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</si>
  <si>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</si>
  <si>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</si>
  <si>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</si>
  <si>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</si>
  <si>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</si>
  <si>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</si>
  <si>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</si>
  <si>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</si>
  <si>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</si>
  <si>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</si>
  <si>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</si>
  <si>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</si>
  <si>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</si>
  <si>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</si>
  <si>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</si>
  <si>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</si>
  <si>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</si>
  <si>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</si>
  <si>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</si>
  <si>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</si>
  <si>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</si>
  <si>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</si>
  <si>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</si>
  <si>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</si>
  <si>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</si>
  <si>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</si>
  <si>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</si>
  <si>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</si>
  <si>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</si>
  <si>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</si>
  <si>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</si>
  <si>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</si>
  <si>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</si>
  <si>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</si>
  <si>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</si>
  <si>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</si>
  <si>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</si>
  <si>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</si>
  <si>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</si>
  <si>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</si>
  <si>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</si>
  <si>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</si>
  <si>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</si>
  <si>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</si>
  <si>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</si>
  <si>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</si>
  <si>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</si>
  <si>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</si>
  <si>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</si>
  <si>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</si>
  <si>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</si>
  <si>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</si>
  <si>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</si>
  <si>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</si>
  <si>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</si>
  <si>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</si>
  <si>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</si>
  <si>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</si>
  <si>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</si>
  <si>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</si>
  <si>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</si>
  <si>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</si>
  <si>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</si>
  <si>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</si>
  <si>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</si>
  <si>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</si>
  <si>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</si>
  <si>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</si>
  <si>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</si>
  <si>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</si>
  <si>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</si>
  <si>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</si>
  <si>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</si>
  <si>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</si>
  <si>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</si>
  <si>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</si>
  <si>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</si>
  <si>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</si>
  <si>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</si>
  <si>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</si>
  <si>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</si>
  <si>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</si>
  <si>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</si>
  <si>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</si>
  <si>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</si>
  <si>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</si>
  <si>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</si>
  <si>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</si>
  <si>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</si>
  <si>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</si>
  <si>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</si>
  <si>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</si>
  <si>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</si>
  <si>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</si>
  <si>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</si>
  <si>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</si>
  <si>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</si>
  <si>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</si>
  <si>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</si>
  <si>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</si>
  <si>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</si>
  <si>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</si>
  <si>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</si>
  <si>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</si>
  <si>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</si>
  <si>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</si>
  <si>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</si>
  <si>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</si>
  <si>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</si>
  <si>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</si>
  <si>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</si>
  <si>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</si>
  <si>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</si>
  <si>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</si>
  <si>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</si>
  <si>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</si>
  <si>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</si>
  <si>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</si>
  <si>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</si>
  <si>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</si>
  <si>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</si>
  <si>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</si>
  <si>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</si>
  <si>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</si>
  <si>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</si>
  <si>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</si>
  <si>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</si>
  <si>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</si>
  <si>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</si>
  <si>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</si>
  <si>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</si>
  <si>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</si>
  <si>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</si>
  <si>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</si>
  <si>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</si>
  <si>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</si>
  <si>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</si>
  <si>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</si>
  <si>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</si>
  <si>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</si>
  <si>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</si>
  <si>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</si>
  <si>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</si>
  <si>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</si>
  <si>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</si>
  <si>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</si>
  <si>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</si>
  <si>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</si>
  <si>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</si>
  <si>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</si>
  <si>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</si>
  <si>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</si>
  <si>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</si>
  <si>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</si>
  <si>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</si>
  <si>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</si>
  <si>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</si>
  <si>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</si>
  <si>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</si>
  <si>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</si>
  <si>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</si>
  <si>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</si>
  <si>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</si>
  <si>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</si>
  <si>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</si>
  <si>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</si>
  <si>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</si>
  <si>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</si>
  <si>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</si>
  <si>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</si>
  <si>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</si>
  <si>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</si>
  <si>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</si>
  <si>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</si>
  <si>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</si>
  <si>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</si>
  <si>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</si>
  <si>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</si>
  <si>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</si>
  <si>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</si>
  <si>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</si>
  <si>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</si>
  <si>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</si>
  <si>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</si>
  <si>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</si>
  <si>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</si>
  <si>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</si>
  <si>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</si>
  <si>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</si>
  <si>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</si>
  <si>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</si>
  <si>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</si>
  <si>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</si>
  <si>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</si>
  <si>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</si>
  <si>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</si>
  <si>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</si>
  <si>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</si>
  <si>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</si>
  <si>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</si>
  <si>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</si>
  <si>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</si>
  <si>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</si>
  <si>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</si>
  <si>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</si>
  <si>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</si>
  <si>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</si>
  <si>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</si>
  <si>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</si>
  <si>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</si>
  <si>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</si>
  <si>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</si>
  <si>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</si>
  <si>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</si>
  <si>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</si>
  <si>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</si>
  <si>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</si>
  <si>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</si>
  <si>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</si>
  <si>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</si>
  <si>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</si>
  <si>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</si>
  <si>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</si>
  <si>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</si>
  <si>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</si>
  <si>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</si>
  <si>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</si>
  <si>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</si>
  <si>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</si>
  <si>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</si>
  <si>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</si>
  <si>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</si>
  <si>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</si>
  <si>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</si>
  <si>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</si>
  <si>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</si>
  <si>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</si>
  <si>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</si>
  <si>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</si>
  <si>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</si>
  <si>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</si>
  <si>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</si>
  <si>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</si>
  <si>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</si>
  <si>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</si>
  <si>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</si>
  <si>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</si>
  <si>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</si>
  <si>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</si>
  <si>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</si>
  <si>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</si>
  <si>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</si>
  <si>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</si>
  <si>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</si>
  <si>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</si>
  <si>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</si>
  <si>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</si>
  <si>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</si>
  <si>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</si>
  <si>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</si>
  <si>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</si>
  <si>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</si>
  <si>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</si>
  <si>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</si>
  <si>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</si>
  <si>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</si>
  <si>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</si>
  <si>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</si>
  <si>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</si>
  <si>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</si>
  <si>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</si>
  <si>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</si>
  <si>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</si>
  <si>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</si>
  <si>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</si>
  <si>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</si>
  <si>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</si>
  <si>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</si>
  <si>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</si>
  <si>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</si>
  <si>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</si>
  <si>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</si>
  <si>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</si>
  <si>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</si>
  <si>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</si>
  <si>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</si>
  <si>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</si>
  <si>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</si>
  <si>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</si>
  <si>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</si>
  <si>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</si>
  <si>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</si>
  <si>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</si>
  <si>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</si>
  <si>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</si>
  <si>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</si>
  <si>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</si>
  <si>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</si>
  <si>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</si>
  <si>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</si>
  <si>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</si>
  <si>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</si>
  <si>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</si>
  <si>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</si>
  <si>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</si>
  <si>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</si>
  <si>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</si>
  <si>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</si>
  <si>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</si>
  <si>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</si>
  <si>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</si>
  <si>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</si>
  <si>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</si>
  <si>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</si>
  <si>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</si>
  <si>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</si>
  <si>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</si>
  <si>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</si>
  <si>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</si>
  <si>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</si>
  <si>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</si>
  <si>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</si>
  <si>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</si>
  <si>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</si>
  <si>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</si>
  <si>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</si>
  <si>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</si>
  <si>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</si>
  <si>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</si>
  <si>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</si>
  <si>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</si>
  <si>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</si>
  <si>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</si>
  <si>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</si>
  <si>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</si>
  <si>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</si>
  <si>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</si>
  <si>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</si>
  <si>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</si>
  <si>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</si>
  <si>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</si>
  <si>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</si>
  <si>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</si>
  <si>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</si>
  <si>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</si>
  <si>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</si>
  <si>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</si>
  <si>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</si>
  <si>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</si>
  <si>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</si>
  <si>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</si>
  <si>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</si>
  <si>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</si>
  <si>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</si>
  <si>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</si>
  <si>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</si>
  <si>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</si>
  <si>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</si>
  <si>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</si>
  <si>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</si>
  <si>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</si>
  <si>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</si>
  <si>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</si>
  <si>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</si>
  <si>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</si>
  <si>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</si>
  <si>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</si>
  <si>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</si>
  <si>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</si>
  <si>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</si>
  <si>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</si>
  <si>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</si>
  <si>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</si>
  <si>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</si>
  <si>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</si>
  <si>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</si>
  <si>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</si>
  <si>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</si>
  <si>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</si>
  <si>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</si>
  <si>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</si>
  <si>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</si>
  <si>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</si>
  <si>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</si>
  <si>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</si>
  <si>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</si>
  <si>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</si>
  <si>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</si>
  <si>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</si>
  <si>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</si>
  <si>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</si>
  <si>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</si>
  <si>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</si>
  <si>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</si>
  <si>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</si>
  <si>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</si>
  <si>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</si>
  <si>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</si>
  <si>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</si>
  <si>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</si>
  <si>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</si>
  <si>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</si>
  <si>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</si>
  <si>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</si>
  <si>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</si>
  <si>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</si>
  <si>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</si>
  <si>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</si>
  <si>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</si>
  <si>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</si>
  <si>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</si>
  <si>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</si>
  <si>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</si>
  <si>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</si>
  <si>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</si>
  <si>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</si>
  <si>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</si>
  <si>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</si>
  <si>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</si>
  <si>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</si>
  <si>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</si>
  <si>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</si>
  <si>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</si>
  <si>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</si>
  <si>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</si>
  <si>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</si>
  <si>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</si>
  <si>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</si>
  <si>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</si>
  <si>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</si>
  <si>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</si>
  <si>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</si>
  <si>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</si>
  <si>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</si>
  <si>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</si>
  <si>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</si>
  <si>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</si>
  <si>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</si>
  <si>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</si>
  <si>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</si>
  <si>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</si>
  <si>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</si>
  <si>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</si>
  <si>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</si>
  <si>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</si>
  <si>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</si>
  <si>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</si>
  <si>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</si>
  <si>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</si>
  <si>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</si>
  <si>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</si>
  <si>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</si>
  <si>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</si>
  <si>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</si>
  <si>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</si>
  <si>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</si>
  <si>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</si>
  <si>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</si>
  <si>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</si>
  <si>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</si>
  <si>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</si>
  <si>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</si>
  <si>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</si>
  <si>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</si>
  <si>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</si>
  <si>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</si>
  <si>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</si>
  <si>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</si>
  <si>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</si>
  <si>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</si>
  <si>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</si>
  <si>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</si>
  <si>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</si>
  <si>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</si>
  <si>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</si>
  <si>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</si>
  <si>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</si>
  <si>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</si>
  <si>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</si>
  <si>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</si>
  <si>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</si>
  <si>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</si>
  <si>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</si>
  <si>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</si>
  <si>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</si>
  <si>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</si>
  <si>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</si>
  <si>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</si>
  <si>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</si>
  <si>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</si>
  <si>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</si>
  <si>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</si>
  <si>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</si>
  <si>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</si>
  <si>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</si>
  <si>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</si>
  <si>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</si>
  <si>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</si>
  <si>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</si>
  <si>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</si>
  <si>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</si>
  <si>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</si>
  <si>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</si>
  <si>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</si>
  <si>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</si>
  <si>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</si>
  <si>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</si>
  <si>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</si>
  <si>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</si>
  <si>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</si>
  <si>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</si>
  <si>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</si>
  <si>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</si>
  <si>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</si>
  <si>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</si>
  <si>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</si>
  <si>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</si>
  <si>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</si>
  <si>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</si>
  <si>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</si>
  <si>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</si>
  <si>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</si>
  <si>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</si>
  <si>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</si>
  <si>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</si>
  <si>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</si>
  <si>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</si>
  <si>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</si>
  <si>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</si>
  <si>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</si>
  <si>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</si>
  <si>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</si>
  <si>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</si>
  <si>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</si>
  <si>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</si>
  <si>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</si>
  <si>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</si>
  <si>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</si>
  <si>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</si>
  <si>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</si>
  <si>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</si>
  <si>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</si>
  <si>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</si>
  <si>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</si>
  <si>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</si>
  <si>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</si>
  <si>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</si>
  <si>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</si>
  <si>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</si>
  <si>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</si>
  <si>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</si>
  <si>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</si>
  <si>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</si>
  <si>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</si>
  <si>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</si>
  <si>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</si>
  <si>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</si>
  <si>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</si>
  <si>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</si>
  <si>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</si>
  <si>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</si>
  <si>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</si>
  <si>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</si>
  <si>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</si>
  <si>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</si>
  <si>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</si>
  <si>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</si>
  <si>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</si>
  <si>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</si>
  <si>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</si>
  <si>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</si>
  <si>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</si>
  <si>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</si>
  <si>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</si>
  <si>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</si>
  <si>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</si>
  <si>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</si>
  <si>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</si>
  <si>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</si>
  <si>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</si>
  <si>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</si>
  <si>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</si>
  <si>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</si>
  <si>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</si>
  <si>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</si>
  <si>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</si>
  <si>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</si>
  <si>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</si>
  <si>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</si>
  <si>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</si>
  <si>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</si>
  <si>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</si>
  <si>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</si>
  <si>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</si>
  <si>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</si>
  <si>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</si>
  <si>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</si>
  <si>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</si>
  <si>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</si>
  <si>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</si>
  <si>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</si>
  <si>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</si>
  <si>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</si>
  <si>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</si>
  <si>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</si>
  <si>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</si>
  <si>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</si>
  <si>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</si>
  <si>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</si>
  <si>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</si>
  <si>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</si>
  <si>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</si>
  <si>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</si>
  <si>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</si>
  <si>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</si>
  <si>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</si>
  <si>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</si>
  <si>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</si>
  <si>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</si>
  <si>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</si>
  <si>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</si>
  <si>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</si>
  <si>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</si>
  <si>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</si>
  <si>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</si>
  <si>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</si>
  <si>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</si>
  <si>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</si>
  <si>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</si>
  <si>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</si>
  <si>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</si>
  <si>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</si>
  <si>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</si>
  <si>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</si>
  <si>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</si>
  <si>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</si>
  <si>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</si>
  <si>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</si>
  <si>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</si>
  <si>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</si>
  <si>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</si>
  <si>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</si>
  <si>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</si>
  <si>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</si>
  <si>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</si>
  <si>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</si>
  <si>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</si>
  <si>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</si>
  <si>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</si>
  <si>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</si>
  <si>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</si>
  <si>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</si>
  <si>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</si>
  <si>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</si>
  <si>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</si>
  <si>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</si>
  <si>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</si>
  <si>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</si>
  <si>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</si>
  <si>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</si>
  <si>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</si>
  <si>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</si>
  <si>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</si>
  <si>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</si>
  <si>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</si>
  <si>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</si>
  <si>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</si>
  <si>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</si>
  <si>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</si>
  <si>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</si>
  <si>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</si>
  <si>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</si>
  <si>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</si>
  <si>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</si>
  <si>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</si>
  <si>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</si>
  <si>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</si>
  <si>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</si>
  <si>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</si>
  <si>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</si>
  <si>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</si>
  <si>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</si>
  <si>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</si>
  <si>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</si>
  <si>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</si>
  <si>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</si>
  <si>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</si>
  <si>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</si>
  <si>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</si>
  <si>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</si>
  <si>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</si>
  <si>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</si>
  <si>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</si>
  <si>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</si>
  <si>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</si>
  <si>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</si>
  <si>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</si>
  <si>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</si>
  <si>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</si>
  <si>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</si>
  <si>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</si>
  <si>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</si>
  <si>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</si>
  <si>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</si>
  <si>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</si>
  <si>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</si>
  <si>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</si>
  <si>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</si>
  <si>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</si>
  <si>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</si>
  <si>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</si>
  <si>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</si>
  <si>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</si>
  <si>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</si>
  <si>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</si>
  <si>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</si>
  <si>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</si>
  <si>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</si>
  <si>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</si>
  <si>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</si>
  <si>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</si>
  <si>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</si>
  <si>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</si>
  <si>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</si>
  <si>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</si>
  <si>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</si>
  <si>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</si>
  <si>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</si>
  <si>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</si>
  <si>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</si>
  <si>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</si>
  <si>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</si>
  <si>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</si>
  <si>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</si>
  <si>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</si>
  <si>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</si>
  <si>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</si>
  <si>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</si>
  <si>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</si>
  <si>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</si>
  <si>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</si>
  <si>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</si>
  <si>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</si>
  <si>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</si>
  <si>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</si>
  <si>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</si>
  <si>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</si>
  <si>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</si>
  <si>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</si>
  <si>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</si>
  <si>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</si>
  <si>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</si>
  <si>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</si>
  <si>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</si>
  <si>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</si>
  <si>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</si>
  <si>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</si>
  <si>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</si>
  <si>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</si>
  <si>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</si>
  <si>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</si>
  <si>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</si>
  <si>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</si>
  <si>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</si>
  <si>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</si>
  <si>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</si>
  <si>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</si>
  <si>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</si>
  <si>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</si>
  <si>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</si>
  <si>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</si>
  <si>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</si>
  <si>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</si>
  <si>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</si>
  <si>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</si>
  <si>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</si>
  <si>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</si>
  <si>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</si>
  <si>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</si>
  <si>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</si>
  <si>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</si>
  <si>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</si>
  <si>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</si>
  <si>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</si>
  <si>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</si>
  <si>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</si>
  <si>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</si>
  <si>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</si>
  <si>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</si>
  <si>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</si>
  <si>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</si>
  <si>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</si>
  <si>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</si>
  <si>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</si>
  <si>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</si>
  <si>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</si>
  <si>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</si>
  <si>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</si>
  <si>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</si>
  <si>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</si>
  <si>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</si>
  <si>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</si>
  <si>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</si>
  <si>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</si>
  <si>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</si>
  <si>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</si>
  <si>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</si>
  <si>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</si>
  <si>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</si>
  <si>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</si>
  <si>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</si>
  <si>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</si>
  <si>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</si>
  <si>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</si>
  <si>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</si>
  <si>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</si>
  <si>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</si>
  <si>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</si>
  <si>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</si>
  <si>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</si>
  <si>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</si>
  <si>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</si>
  <si>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</si>
  <si>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</si>
  <si>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</si>
  <si>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</si>
  <si>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</si>
  <si>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</si>
  <si>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</si>
  <si>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</si>
  <si>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</si>
  <si>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</si>
  <si>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</si>
  <si>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</si>
  <si>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</si>
  <si>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</si>
  <si>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</si>
  <si>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</si>
  <si>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</si>
  <si>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</si>
  <si>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</si>
  <si>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</si>
  <si>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</si>
  <si>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</si>
  <si>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</si>
  <si>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</si>
  <si>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</si>
  <si>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</si>
  <si>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</si>
  <si>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</si>
  <si>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</si>
  <si>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</si>
  <si>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</si>
  <si>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</si>
  <si>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</si>
  <si>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</si>
  <si>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</si>
  <si>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</si>
  <si>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</si>
  <si>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</si>
  <si>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</si>
  <si>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</si>
  <si>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</si>
  <si>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</si>
  <si>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</si>
  <si>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</si>
  <si>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</si>
  <si>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</si>
  <si>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</si>
  <si>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</si>
  <si>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</si>
  <si>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</si>
  <si>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</si>
  <si>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</si>
  <si>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</si>
  <si>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</si>
  <si>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</si>
  <si>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</si>
  <si>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</si>
  <si>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</si>
  <si>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</si>
  <si>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</si>
  <si>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</si>
  <si>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</si>
  <si>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</si>
  <si>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</si>
  <si>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</si>
  <si>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</si>
  <si>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</si>
  <si>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</si>
  <si>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</si>
  <si>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</si>
  <si>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</si>
  <si>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</si>
  <si>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</si>
  <si>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</si>
  <si>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</si>
  <si>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</si>
  <si>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</si>
  <si>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</si>
  <si>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</si>
  <si>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</si>
  <si>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</si>
  <si>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</si>
  <si>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</si>
  <si>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</si>
  <si>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</si>
  <si>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</si>
  <si>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</si>
  <si>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</si>
  <si>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</si>
  <si>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</si>
  <si>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</si>
  <si>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</si>
  <si>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</si>
  <si>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</si>
  <si>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</si>
  <si>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</si>
  <si>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</si>
  <si>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</si>
  <si>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</si>
  <si>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</si>
  <si>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</si>
  <si>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</si>
  <si>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</si>
  <si>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</si>
  <si>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</si>
  <si>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</si>
  <si>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</si>
  <si>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</si>
  <si>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</si>
  <si>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</si>
  <si>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</si>
  <si>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</si>
  <si>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</si>
  <si>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</si>
  <si>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</si>
  <si>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</si>
  <si>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</si>
  <si>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</si>
  <si>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</si>
  <si>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</si>
  <si>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</si>
  <si>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</si>
  <si>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</si>
  <si>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</si>
  <si>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</si>
  <si>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</si>
  <si>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</si>
  <si>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</si>
  <si>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</si>
  <si>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</si>
  <si>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</si>
  <si>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</si>
  <si>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</si>
  <si>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</si>
  <si>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</si>
  <si>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</si>
  <si>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</si>
  <si>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</si>
  <si>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</si>
  <si>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</si>
  <si>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</si>
  <si>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</si>
  <si>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</si>
  <si>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</si>
  <si>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</si>
  <si>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</si>
  <si>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</si>
  <si>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</si>
  <si>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</si>
  <si>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</si>
  <si>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</si>
  <si>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</si>
  <si>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</si>
  <si>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</si>
  <si>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</si>
  <si>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</si>
  <si>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</si>
  <si>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</si>
  <si>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</si>
  <si>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</si>
  <si>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</si>
  <si>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</si>
  <si>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</si>
  <si>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</si>
  <si>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</si>
  <si>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</si>
  <si>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</si>
  <si>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</si>
  <si>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</si>
  <si>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</si>
  <si>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</si>
  <si>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</si>
  <si>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</si>
  <si>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</si>
  <si>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</si>
  <si>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</si>
  <si>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</si>
  <si>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</si>
  <si>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</si>
  <si>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</si>
  <si>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</si>
  <si>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</si>
  <si>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</si>
  <si>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</si>
  <si>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</si>
  <si>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</si>
  <si>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</si>
  <si>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</si>
  <si>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</si>
  <si>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</si>
  <si>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</si>
  <si>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</si>
  <si>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</si>
  <si>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</si>
  <si>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</si>
  <si>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</si>
  <si>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</si>
  <si>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</si>
  <si>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</si>
  <si>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</si>
  <si>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</si>
  <si>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</si>
  <si>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</si>
  <si>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</si>
  <si>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</si>
  <si>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</si>
  <si>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</si>
  <si>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</si>
  <si>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</si>
  <si>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</si>
  <si>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</si>
  <si>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</si>
  <si>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</si>
  <si>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</si>
  <si>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</si>
  <si>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</si>
  <si>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</si>
  <si>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</si>
  <si>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</si>
  <si>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</si>
  <si>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</si>
  <si>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</si>
  <si>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</si>
  <si>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</si>
  <si>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</si>
  <si>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</si>
  <si>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</si>
  <si>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</si>
  <si>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</si>
  <si>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</si>
  <si>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</si>
  <si>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</si>
  <si>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</si>
  <si>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</si>
  <si>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</si>
  <si>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</si>
  <si>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</si>
  <si>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</si>
  <si>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</si>
  <si>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</si>
  <si>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</si>
  <si>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</si>
  <si>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</si>
  <si>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</si>
  <si>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</si>
  <si>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</si>
  <si>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</si>
  <si>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</si>
  <si>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</si>
  <si>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</si>
  <si>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</si>
  <si>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</si>
  <si>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</si>
  <si>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</si>
  <si>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</si>
  <si>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</si>
  <si>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</si>
  <si>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</si>
  <si>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</si>
  <si>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</si>
  <si>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</si>
  <si>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</si>
  <si>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</si>
  <si>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</si>
  <si>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</si>
  <si>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</si>
  <si>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</si>
  <si>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</si>
  <si>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</si>
  <si>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</si>
  <si>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</si>
  <si>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</si>
  <si>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</si>
  <si>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</si>
  <si>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</si>
  <si>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</si>
  <si>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</si>
  <si>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</si>
  <si>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</si>
  <si>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</si>
  <si>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</si>
  <si>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</si>
  <si>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</si>
  <si>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</si>
  <si>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</si>
  <si>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</si>
  <si>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</si>
  <si>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</si>
  <si>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</si>
  <si>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</si>
  <si>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</si>
  <si>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</si>
  <si>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</si>
  <si>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</si>
  <si>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</si>
  <si>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</si>
  <si>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</si>
  <si>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</si>
  <si>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</si>
  <si>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</si>
  <si>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</si>
  <si>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</si>
  <si>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</si>
  <si>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</si>
  <si>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</si>
  <si>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</si>
  <si>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</si>
  <si>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</si>
  <si>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</si>
  <si>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</si>
  <si>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</si>
  <si>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</si>
  <si>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</si>
  <si>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</si>
  <si>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</si>
  <si>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</si>
  <si>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</si>
  <si>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</si>
  <si>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</si>
  <si>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</si>
  <si>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</si>
  <si>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</si>
  <si>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</si>
  <si>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</si>
  <si>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</si>
  <si>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</si>
  <si>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</si>
  <si>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</si>
  <si>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</si>
  <si>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</si>
  <si>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</si>
  <si>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</si>
  <si>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</si>
  <si>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</si>
  <si>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</si>
  <si>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</si>
  <si>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</si>
  <si>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</si>
  <si>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</si>
  <si>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</si>
  <si>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</si>
  <si>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</si>
  <si>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</si>
  <si>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</si>
  <si>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</si>
  <si>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</si>
  <si>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</si>
  <si>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</si>
  <si>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</si>
  <si>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</si>
  <si>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</si>
  <si>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</si>
  <si>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</si>
  <si>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</si>
  <si>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</si>
  <si>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</si>
  <si>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</si>
  <si>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</si>
  <si>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</si>
  <si>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</si>
  <si>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</si>
  <si>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</si>
  <si>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</si>
  <si>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</si>
  <si>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</si>
  <si>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</si>
  <si>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</si>
  <si>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</si>
  <si>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</si>
  <si>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</si>
  <si>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</si>
  <si>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</si>
  <si>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</si>
  <si>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</si>
  <si>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</si>
  <si>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</si>
  <si>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</si>
  <si>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</si>
  <si>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</si>
  <si>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</si>
  <si>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</si>
  <si>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</si>
  <si>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</si>
  <si>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</si>
  <si>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</si>
  <si>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</si>
  <si>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</si>
  <si>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</si>
  <si>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</si>
  <si>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</si>
  <si>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</si>
  <si>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</si>
  <si>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</si>
  <si>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</si>
  <si>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</si>
  <si>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</si>
  <si>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</si>
  <si>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</si>
  <si>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</si>
  <si>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</si>
  <si>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</si>
  <si>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</si>
  <si>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</si>
  <si>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</si>
  <si>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</si>
  <si>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</si>
  <si>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</si>
  <si>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</si>
  <si>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</si>
  <si>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</si>
  <si>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</si>
  <si>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</si>
  <si>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</si>
  <si>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</si>
  <si>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</si>
  <si>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</si>
  <si>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</si>
  <si>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</si>
  <si>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</si>
  <si>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</si>
  <si>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</si>
  <si>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</si>
  <si>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</si>
  <si>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</si>
  <si>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</si>
  <si>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</si>
  <si>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</si>
  <si>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</si>
  <si>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</si>
  <si>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</si>
  <si>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</si>
  <si>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</si>
  <si>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</si>
  <si>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</si>
  <si>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</si>
  <si>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</si>
  <si>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</si>
  <si>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</si>
  <si>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</si>
  <si>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</si>
  <si>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</si>
  <si>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</si>
  <si>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</si>
  <si>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</si>
  <si>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</si>
  <si>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</si>
  <si>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</si>
  <si>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</si>
  <si>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</si>
  <si>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</si>
  <si>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</si>
  <si>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</si>
  <si>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</si>
  <si>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</si>
  <si>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</si>
  <si>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</si>
  <si>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</si>
  <si>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</si>
  <si>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</si>
  <si>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</si>
  <si>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</si>
  <si>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</si>
  <si>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</si>
  <si>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</si>
  <si>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</si>
  <si>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</si>
  <si>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</si>
  <si>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</si>
  <si>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</si>
  <si>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</si>
  <si>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</si>
  <si>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</si>
  <si>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</si>
  <si>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</si>
  <si>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</si>
  <si>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</si>
  <si>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</si>
  <si>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</si>
  <si>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</si>
  <si>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</si>
  <si>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</si>
  <si>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</si>
  <si>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</si>
  <si>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</si>
  <si>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</si>
  <si>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</si>
  <si>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</si>
  <si>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</si>
  <si>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</si>
  <si>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</si>
  <si>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</si>
  <si>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</si>
  <si>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</si>
  <si>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</si>
  <si>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</si>
  <si>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</si>
  <si>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</si>
  <si>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</si>
  <si>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</si>
  <si>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</si>
  <si>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</si>
  <si>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</si>
  <si>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</si>
  <si>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</si>
  <si>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</si>
  <si>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</si>
  <si>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</si>
  <si>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</si>
  <si>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</si>
  <si>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</si>
  <si>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</si>
  <si>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</si>
  <si>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</si>
  <si>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</si>
  <si>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</si>
  <si>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</si>
  <si>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</si>
  <si>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</si>
  <si>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</si>
  <si>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</si>
  <si>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</si>
  <si>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</si>
  <si>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</si>
  <si>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</si>
  <si>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</si>
  <si>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</si>
  <si>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</si>
  <si>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</si>
  <si>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</si>
  <si>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</si>
  <si>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</si>
  <si>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</si>
  <si>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</si>
  <si>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</si>
  <si>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</si>
  <si>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</si>
  <si>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</si>
  <si>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</si>
  <si>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</si>
  <si>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</si>
  <si>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</si>
  <si>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</si>
  <si>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</si>
  <si>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</si>
  <si>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</si>
  <si>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</si>
  <si>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</si>
  <si>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</si>
  <si>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</si>
  <si>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</si>
  <si>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</si>
  <si>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</si>
  <si>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</si>
  <si>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</si>
  <si>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</si>
  <si>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</si>
  <si>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</si>
  <si>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</si>
  <si>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</si>
  <si>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</si>
  <si>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</si>
  <si>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</si>
  <si>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</si>
  <si>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</si>
  <si>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</si>
  <si>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</si>
  <si>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</si>
  <si>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</si>
  <si>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</si>
  <si>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</si>
  <si>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</si>
  <si>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</si>
  <si>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</si>
  <si>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</si>
  <si>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</si>
  <si>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</si>
  <si>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</si>
  <si>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</si>
  <si>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</si>
  <si>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</si>
  <si>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</si>
  <si>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</si>
  <si>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</si>
  <si>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</si>
  <si>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</si>
  <si>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</si>
  <si>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</si>
  <si>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</si>
  <si>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</si>
  <si>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</si>
  <si>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</si>
  <si>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</si>
  <si>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</si>
  <si>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</si>
  <si>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</si>
  <si>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</si>
  <si>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</si>
  <si>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</si>
  <si>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</si>
  <si>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</si>
  <si>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</si>
  <si>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</si>
  <si>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</si>
  <si>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</si>
  <si>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</si>
  <si>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</si>
  <si>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</si>
  <si>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</si>
  <si>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</si>
  <si>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</si>
  <si>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</si>
  <si>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</si>
  <si>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</si>
  <si>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</si>
  <si>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</si>
  <si>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</si>
  <si>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</si>
  <si>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</si>
  <si>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</si>
  <si>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</si>
  <si>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</si>
  <si>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</si>
  <si>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</si>
  <si>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</si>
  <si>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</si>
  <si>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</si>
  <si>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</si>
  <si>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</si>
  <si>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</si>
  <si>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</si>
  <si>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</si>
  <si>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</si>
  <si>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</si>
  <si>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</si>
  <si>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</si>
  <si>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</si>
  <si>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</si>
  <si>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</si>
  <si>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</si>
  <si>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</si>
  <si>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</si>
  <si>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</si>
  <si>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</si>
  <si>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</si>
  <si>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</si>
  <si>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</si>
  <si>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</si>
  <si>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</si>
  <si>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</si>
  <si>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</si>
  <si>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</si>
  <si>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</si>
  <si>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</si>
  <si>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</si>
  <si>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</si>
  <si>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</si>
  <si>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</si>
  <si>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</si>
  <si>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</si>
  <si>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</si>
  <si>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</si>
  <si>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</si>
  <si>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</si>
  <si>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</si>
  <si>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</si>
  <si>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</si>
  <si>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</si>
  <si>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</si>
  <si>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</si>
  <si>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</si>
  <si>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</si>
  <si>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</si>
  <si>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</si>
  <si>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</si>
  <si>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</si>
  <si>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</si>
  <si>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</si>
  <si>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</si>
  <si>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</si>
  <si>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</si>
  <si>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</si>
  <si>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</si>
  <si>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</si>
  <si>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</si>
  <si>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</si>
  <si>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</si>
  <si>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</si>
  <si>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</si>
  <si>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</si>
  <si>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</si>
  <si>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</si>
  <si>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</si>
  <si>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</si>
  <si>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</si>
  <si>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</si>
  <si>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</si>
  <si>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</si>
  <si>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</si>
  <si>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</si>
  <si>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</si>
  <si>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</si>
  <si>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</si>
  <si>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</si>
  <si>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</si>
  <si>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</si>
  <si>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</si>
  <si>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</si>
  <si>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</si>
  <si>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</si>
  <si>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</si>
  <si>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</si>
  <si>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</si>
  <si>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</si>
  <si>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</si>
  <si>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</si>
  <si>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</si>
  <si>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</si>
  <si>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</si>
  <si>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</si>
  <si>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</si>
  <si>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</si>
  <si>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</si>
  <si>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</si>
  <si>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</si>
  <si>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</si>
  <si>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</si>
  <si>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</si>
  <si>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</si>
  <si>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</si>
  <si>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</si>
  <si>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</si>
  <si>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</si>
  <si>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</si>
  <si>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</si>
  <si>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</si>
  <si>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</si>
  <si>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</si>
  <si>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</si>
  <si>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</si>
  <si>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</si>
  <si>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</si>
  <si>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</si>
  <si>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</si>
  <si>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</si>
  <si>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</si>
  <si>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</si>
  <si>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</si>
  <si>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</si>
  <si>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</si>
  <si>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</si>
  <si>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</si>
  <si>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</si>
  <si>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</si>
  <si>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</si>
  <si>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</si>
  <si>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</si>
  <si>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</si>
  <si>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</si>
  <si>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</si>
  <si>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</si>
  <si>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</si>
  <si>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</si>
  <si>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</si>
  <si>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</si>
  <si>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</si>
  <si>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</si>
  <si>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</si>
  <si>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</si>
  <si>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</si>
  <si>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</si>
  <si>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</si>
  <si>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</si>
  <si>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</si>
  <si>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</si>
  <si>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</si>
  <si>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</si>
  <si>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</si>
  <si>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</si>
  <si>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</si>
  <si>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</si>
  <si>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</si>
  <si>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</si>
  <si>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</si>
  <si>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</si>
  <si>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</si>
  <si>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</si>
  <si>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</si>
  <si>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</si>
  <si>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</si>
  <si>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</si>
  <si>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</si>
  <si>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</si>
  <si>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</si>
  <si>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</si>
  <si>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</si>
  <si>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</si>
  <si>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</si>
  <si>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</si>
  <si>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</si>
  <si>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</si>
  <si>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</si>
  <si>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</si>
  <si>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</si>
  <si>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</si>
  <si>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</si>
  <si>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</si>
  <si>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</si>
  <si>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</si>
  <si>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</si>
  <si>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</si>
  <si>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</si>
  <si>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</si>
  <si>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</si>
  <si>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</si>
  <si>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</si>
  <si>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</si>
  <si>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</si>
  <si>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</si>
  <si>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</si>
  <si>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</si>
  <si>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</si>
  <si>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</si>
  <si>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</si>
  <si>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</si>
  <si>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</si>
  <si>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</si>
  <si>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</si>
  <si>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</si>
  <si>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</si>
  <si>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</si>
  <si>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</si>
  <si>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</si>
  <si>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</si>
  <si>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</si>
  <si>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</si>
  <si>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</si>
  <si>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</si>
  <si>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</si>
  <si>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</si>
  <si>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</si>
  <si>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</si>
  <si>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</si>
  <si>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</si>
  <si>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</si>
  <si>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</si>
  <si>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</si>
  <si>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</si>
  <si>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</si>
  <si>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</si>
  <si>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</si>
  <si>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</si>
  <si>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</si>
  <si>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</si>
  <si>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</si>
  <si>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</si>
  <si>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</si>
  <si>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</si>
  <si>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</si>
  <si>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</si>
  <si>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</si>
  <si>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</si>
  <si>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</si>
  <si>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</si>
  <si>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</si>
  <si>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</si>
  <si>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</si>
  <si>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</si>
  <si>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</si>
  <si>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</si>
  <si>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</si>
  <si>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</si>
  <si>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</si>
  <si>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</si>
  <si>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</si>
  <si>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</si>
  <si>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</si>
  <si>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</si>
  <si>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</si>
  <si>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</si>
  <si>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</si>
  <si>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</si>
  <si>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</si>
  <si>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</si>
  <si>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</si>
  <si>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</si>
  <si>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</si>
  <si>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</si>
  <si>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</si>
  <si>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</si>
  <si>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</si>
  <si>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</si>
  <si>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</si>
  <si>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</si>
  <si>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</si>
  <si>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</si>
  <si>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</si>
  <si>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</si>
  <si>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</si>
  <si>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</si>
  <si>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</si>
  <si>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</si>
  <si>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</si>
  <si>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</si>
  <si>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</si>
  <si>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</si>
  <si>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</si>
  <si>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</si>
  <si>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</si>
  <si>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</si>
  <si>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</si>
  <si>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</si>
  <si>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</si>
  <si>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</si>
  <si>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</si>
  <si>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</si>
  <si>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</si>
  <si>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</si>
  <si>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</si>
  <si>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</si>
  <si>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</si>
  <si>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</si>
  <si>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</si>
  <si>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</si>
  <si>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</si>
  <si>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</si>
  <si>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</si>
  <si>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</si>
  <si>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</si>
  <si>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</si>
  <si>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</si>
  <si>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</si>
  <si>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</si>
  <si>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</si>
  <si>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</si>
  <si>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</si>
  <si>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</si>
  <si>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</si>
  <si>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</si>
  <si>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</si>
  <si>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</si>
  <si>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</si>
  <si>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</si>
  <si>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</si>
  <si>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</si>
  <si>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</si>
  <si>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</si>
  <si>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</si>
  <si>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</si>
  <si>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</si>
  <si>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</si>
  <si>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</si>
  <si>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</si>
  <si>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</si>
  <si>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</si>
  <si>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</si>
  <si>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</si>
  <si>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</si>
  <si>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</si>
  <si>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</si>
  <si>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</si>
  <si>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</si>
  <si>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</si>
  <si>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</si>
  <si>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</si>
  <si>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</si>
  <si>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</si>
  <si>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</si>
  <si>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</si>
  <si>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</si>
  <si>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</si>
  <si>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</si>
  <si>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</si>
  <si>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</si>
  <si>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</si>
  <si>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</si>
  <si>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</si>
  <si>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</si>
  <si>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</si>
  <si>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</si>
  <si>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</si>
  <si>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</si>
  <si>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</si>
  <si>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</si>
  <si>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</si>
  <si>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</si>
  <si>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</si>
  <si>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</si>
  <si>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</si>
  <si>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</si>
  <si>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</si>
  <si>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</si>
  <si>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</si>
  <si>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</si>
  <si>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</si>
  <si>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</si>
  <si>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</si>
  <si>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</si>
  <si>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</si>
  <si>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</si>
  <si>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</si>
  <si>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</si>
  <si>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</si>
  <si>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</si>
  <si>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</si>
  <si>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</si>
  <si>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</si>
  <si>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</si>
  <si>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</si>
  <si>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</si>
  <si>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</si>
  <si>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</si>
  <si>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</si>
  <si>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</si>
  <si>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</si>
  <si>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</si>
  <si>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</si>
  <si>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</si>
  <si>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</si>
  <si>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</si>
  <si>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</si>
  <si>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</si>
  <si>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</si>
  <si>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</si>
  <si>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</si>
  <si>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</si>
  <si>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</si>
  <si>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</si>
  <si>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</si>
  <si>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</si>
  <si>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</si>
  <si>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</si>
  <si>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</si>
  <si>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</si>
  <si>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</si>
  <si>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</si>
  <si>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</si>
  <si>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</si>
  <si>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</si>
  <si>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</si>
  <si>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</si>
  <si>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</si>
  <si>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</si>
  <si>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</si>
  <si>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</si>
  <si>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</si>
  <si>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</si>
  <si>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</si>
  <si>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</si>
  <si>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</si>
  <si>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</si>
  <si>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</si>
  <si>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</si>
  <si>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</si>
  <si>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</si>
  <si>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</si>
  <si>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</si>
  <si>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</si>
  <si>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</si>
  <si>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</si>
  <si>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</si>
  <si>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</si>
  <si>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</si>
  <si>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</si>
  <si>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</si>
  <si>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</si>
  <si>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</si>
  <si>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</si>
  <si>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</si>
  <si>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</si>
  <si>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</si>
  <si>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</si>
  <si>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</si>
  <si>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</si>
  <si>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</si>
  <si>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</si>
  <si>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</si>
  <si>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</si>
  <si>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</si>
  <si>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</si>
  <si>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</si>
  <si>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</si>
  <si>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</si>
  <si>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</si>
  <si>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</si>
  <si>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</si>
  <si>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</si>
  <si>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</si>
  <si>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</si>
  <si>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</si>
  <si>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</si>
  <si>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</si>
  <si>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</si>
  <si>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</si>
  <si>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</si>
  <si>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</si>
  <si>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</si>
  <si>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</si>
  <si>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</si>
  <si>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</si>
  <si>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Kontaktná osoba zodpovedná za vyplnený formulár
meno a priezvisko:  Anton Hamran
e-mail:hamran.anton@gmail.com
tel. kontakt (mobil):0905245825</t>
  </si>
  <si>
    <t>m - Satellite Tour v stolnom tenise 2025</t>
  </si>
  <si>
    <t>14/2025</t>
  </si>
  <si>
    <t>2025350451</t>
  </si>
  <si>
    <t>prenájom športovej haly</t>
  </si>
  <si>
    <t>31341977</t>
  </si>
  <si>
    <t>Transpetrol a.s.</t>
  </si>
  <si>
    <t>ubytovanie účastníkov</t>
  </si>
  <si>
    <t>15/2025</t>
  </si>
  <si>
    <t>2025350452</t>
  </si>
  <si>
    <t>17/2025</t>
  </si>
  <si>
    <t>20250012</t>
  </si>
  <si>
    <t>športové poháre  medaile</t>
  </si>
  <si>
    <t>36023701</t>
  </si>
  <si>
    <t>EURO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</si>
</sst>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88" val="17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7"/>
      <c r="D1" s="327"/>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5" x14ac:dyDescent="0.25">
      <c r="A14" s="307" t="s">
        <v>5</v>
      </c>
      <c r="C14" s="205"/>
      <c r="D14" s="205"/>
    </row>
    <row r="15" spans="1:4" ht="16.25" customHeight="1" x14ac:dyDescent="0.25">
      <c r="A15" s="127"/>
      <c r="C15" s="21"/>
    </row>
    <row r="16" spans="1:4" ht="303" x14ac:dyDescent="0.25">
      <c r="A16" s="295" t="s">
        <v>6</v>
      </c>
      <c r="C16" s="21"/>
    </row>
    <row r="17" spans="1:4" ht="17.399999999999999"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8"/>
      <c r="D21" s="328"/>
    </row>
    <row r="22" spans="1:4" x14ac:dyDescent="0.25">
      <c r="C22" s="329"/>
      <c r="D22" s="328"/>
    </row>
    <row r="23" spans="1:4" ht="64" x14ac:dyDescent="0.25">
      <c r="A23" s="23" t="s">
        <v>1352</v>
      </c>
      <c r="C23" s="255"/>
      <c r="D23" s="256"/>
    </row>
    <row r="24" spans="1:4" ht="12.75" customHeight="1" x14ac:dyDescent="0.25">
      <c r="C24" s="325"/>
      <c r="D24" s="326"/>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ht="13" x14ac:dyDescent="0.25">
      <c r="A48" s="299"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8"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400000000000006"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4"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1348</v>
      </c>
    </row>
    <row r="133" spans="1:1" ht="61.5" customHeight="1" x14ac:dyDescent="0.25">
      <c r="A133" s="300" t="s">
        <v>1360</v>
      </c>
    </row>
    <row r="134" spans="1:1" ht="13" x14ac:dyDescent="0.25">
      <c r="A134" s="260" t="s">
        <v>1361</v>
      </c>
    </row>
    <row r="135" spans="1:1" ht="101" x14ac:dyDescent="0.25">
      <c r="A135" s="300" t="s">
        <v>1349</v>
      </c>
    </row>
    <row r="136" spans="1:1" x14ac:dyDescent="0.25">
      <c r="A136"/>
    </row>
    <row r="137" spans="1:1" ht="71.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79" t="str">
        <f>Spolu!C3&amp;", "&amp;Spolu!C6</f>
        <v>ST Relax, Karpatské námestie 7770/8, Bratislava, 831 06</v>
      </c>
      <c r="B1" s="379"/>
      <c r="C1" s="379"/>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0" t="s">
        <v>1251</v>
      </c>
      <c r="F3" s="381"/>
      <c r="N3" s="137" t="str">
        <f t="shared" si="0"/>
        <v>c - príspevok Slovenskému paralympijskému výboru</v>
      </c>
      <c r="O3" s="137" t="s">
        <v>343</v>
      </c>
      <c r="P3" s="137" t="str">
        <f>Spolu!B19</f>
        <v>príspevok Slovenskému paralympijskému výboru</v>
      </c>
    </row>
    <row r="4" spans="1:16" ht="45.75" customHeight="1" x14ac:dyDescent="0.25">
      <c r="E4" s="381"/>
      <c r="F4" s="381"/>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2" t="s">
        <v>1282</v>
      </c>
      <c r="B12" s="382"/>
      <c r="C12" s="382"/>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4" t="s">
        <v>1284</v>
      </c>
      <c r="C14" s="385"/>
      <c r="F14" s="310"/>
      <c r="N14" s="137" t="str">
        <f t="shared" si="0"/>
        <v xml:space="preserve">n - </v>
      </c>
      <c r="O14" s="137" t="s">
        <v>364</v>
      </c>
    </row>
    <row r="15" spans="1:16" ht="34.4" customHeight="1" x14ac:dyDescent="0.25">
      <c r="A15" s="139" t="s">
        <v>1285</v>
      </c>
      <c r="B15" s="384"/>
      <c r="C15" s="385"/>
      <c r="F15" s="387"/>
      <c r="N15" s="137" t="str">
        <f t="shared" si="0"/>
        <v xml:space="preserve">o - </v>
      </c>
      <c r="O15" s="137" t="s">
        <v>365</v>
      </c>
    </row>
    <row r="16" spans="1:16" x14ac:dyDescent="0.25">
      <c r="A16" s="139" t="s">
        <v>1269</v>
      </c>
      <c r="B16" s="142">
        <f>F8</f>
        <v>0</v>
      </c>
      <c r="C16" s="137"/>
      <c r="F16" s="387"/>
      <c r="N16" s="137" t="str">
        <f t="shared" si="0"/>
        <v xml:space="preserve">p - </v>
      </c>
      <c r="O16" s="137" t="s">
        <v>366</v>
      </c>
    </row>
    <row r="17" spans="1:16" ht="32.15" customHeight="1" x14ac:dyDescent="0.25">
      <c r="A17" s="139" t="s">
        <v>1272</v>
      </c>
      <c r="B17" s="142">
        <f>F9</f>
        <v>0</v>
      </c>
      <c r="C17" s="137"/>
      <c r="F17" s="387"/>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51806606</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6" t="s">
        <v>1277</v>
      </c>
      <c r="C24" s="38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10"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8" t="s">
        <v>1290</v>
      </c>
      <c r="B2" s="388"/>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23"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0" t="s">
        <v>57</v>
      </c>
      <c r="B1" s="330"/>
      <c r="C1" s="330"/>
      <c r="D1" s="330"/>
      <c r="E1" s="330"/>
      <c r="F1" s="330"/>
      <c r="G1" s="330"/>
      <c r="H1" s="330"/>
      <c r="I1" s="52"/>
      <c r="J1" s="37"/>
    </row>
    <row r="2" spans="1:11" ht="15.5" x14ac:dyDescent="0.35">
      <c r="A2" s="336" t="s">
        <v>58</v>
      </c>
      <c r="B2" s="336"/>
      <c r="C2" s="336"/>
      <c r="D2" s="336"/>
      <c r="E2" s="336"/>
      <c r="F2" s="336"/>
      <c r="G2" s="336"/>
      <c r="H2" s="334" t="str">
        <f>+Doklady!I100</f>
        <v>V4</v>
      </c>
      <c r="I2" s="334"/>
    </row>
    <row r="3" spans="1:11" ht="14" x14ac:dyDescent="0.3">
      <c r="A3" s="40"/>
      <c r="B3" s="40"/>
      <c r="C3" s="40"/>
      <c r="D3" s="40"/>
      <c r="E3" s="40"/>
      <c r="F3" s="40"/>
      <c r="G3" s="40"/>
      <c r="H3" s="335">
        <f>+Doklady!I101</f>
        <v>45961</v>
      </c>
      <c r="I3" s="335"/>
    </row>
    <row r="4" spans="1:11" ht="15.75" customHeight="1" x14ac:dyDescent="0.3">
      <c r="A4" s="41" t="s">
        <v>59</v>
      </c>
      <c r="B4" s="331" t="s">
        <v>60</v>
      </c>
      <c r="C4" s="332"/>
      <c r="D4" s="332"/>
      <c r="E4" s="333"/>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4"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39" t="s">
        <v>311</v>
      </c>
      <c r="B1" s="340"/>
      <c r="C1" s="174">
        <v>45688</v>
      </c>
      <c r="D1" s="26"/>
      <c r="G1" s="252">
        <v>45688</v>
      </c>
    </row>
    <row r="2" spans="1:7" ht="14" x14ac:dyDescent="0.3">
      <c r="A2" s="28"/>
      <c r="B2" s="28"/>
      <c r="G2" s="252">
        <v>45716</v>
      </c>
    </row>
    <row r="3" spans="1:7" ht="14" x14ac:dyDescent="0.3">
      <c r="A3" s="30" t="s">
        <v>312</v>
      </c>
      <c r="B3" s="337" t="str">
        <f>INDEX(Adr!B:B,Doklady!B102+1)</f>
        <v>ST Relax</v>
      </c>
      <c r="C3" s="337"/>
      <c r="D3" s="337"/>
      <c r="G3" s="252">
        <v>45747</v>
      </c>
    </row>
    <row r="4" spans="1:7" ht="14" x14ac:dyDescent="0.3">
      <c r="A4" s="30" t="s">
        <v>313</v>
      </c>
      <c r="B4" s="29" t="str">
        <f>RIGHT("0000"&amp;INDEX(Adr!A:A,Doklady!B102+1),8)</f>
        <v>51806606</v>
      </c>
      <c r="G4" s="252">
        <v>45777</v>
      </c>
    </row>
    <row r="5" spans="1:7" ht="14" x14ac:dyDescent="0.3">
      <c r="A5" s="30" t="s">
        <v>314</v>
      </c>
      <c r="B5" s="29" t="str">
        <f>INDEX(Adr!D:D,Doklady!B102+1)&amp;", "&amp;INDEX(Adr!E:E,Doklady!B102+1)</f>
        <v>Karpatské námestie 7770/8,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0</v>
      </c>
      <c r="G15" s="252"/>
    </row>
    <row r="16" spans="1:7" ht="14" x14ac:dyDescent="0.3">
      <c r="G16" s="252"/>
    </row>
    <row r="17" spans="1:5" ht="72" customHeight="1" x14ac:dyDescent="0.25">
      <c r="A17" s="338" t="s">
        <v>328</v>
      </c>
      <c r="B17" s="338"/>
      <c r="C17" s="338"/>
      <c r="D17" s="33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D140" sqref="D140:I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49" t="s">
        <v>329</v>
      </c>
      <c r="B1" s="349"/>
      <c r="C1" s="349"/>
      <c r="D1" s="349"/>
      <c r="E1" s="349"/>
      <c r="F1" s="349"/>
      <c r="G1" s="349"/>
      <c r="H1" s="349"/>
      <c r="I1" s="349"/>
    </row>
    <row r="2" spans="1:26" ht="7.5" customHeight="1" x14ac:dyDescent="0.2">
      <c r="C2" s="8"/>
      <c r="D2" s="8"/>
      <c r="E2" s="8"/>
      <c r="F2" s="8"/>
      <c r="G2" s="8"/>
      <c r="H2" s="8"/>
      <c r="I2" s="8"/>
    </row>
    <row r="3" spans="1:26" s="9" customFormat="1" ht="26.15" customHeight="1" x14ac:dyDescent="0.25">
      <c r="B3" s="160" t="s">
        <v>59</v>
      </c>
      <c r="C3" s="350" t="str">
        <f>INDEX(Adr!B2:B242,Doklady!B102)</f>
        <v>ST Relax</v>
      </c>
      <c r="D3" s="350"/>
      <c r="E3" s="350"/>
      <c r="F3" s="350"/>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51806606</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Karpatské námestie 7770/8, Bratislava, 831 06</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8" x14ac:dyDescent="0.4">
      <c r="A10" s="69" t="s">
        <v>317</v>
      </c>
      <c r="B10" s="70" t="s">
        <v>318</v>
      </c>
      <c r="C10" s="126">
        <f>SUMIF(FP!J:J,Doklady!$B$1&amp;A10,FP!D:D)</f>
        <v>0</v>
      </c>
      <c r="D10" s="126">
        <f>C10-E10</f>
        <v>0</v>
      </c>
      <c r="E10" s="342">
        <f>SUMIF(K:K,A10,I:I)</f>
        <v>0</v>
      </c>
      <c r="F10" s="343"/>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3">
        <f>+I39-I42+I44-I47</f>
        <v>0</v>
      </c>
      <c r="F11" s="354"/>
      <c r="J11" s="176"/>
      <c r="L11" s="161">
        <f>L41</f>
        <v>2</v>
      </c>
      <c r="M11" s="118"/>
      <c r="N11" s="118"/>
      <c r="O11" s="118"/>
      <c r="P11" s="118"/>
      <c r="Q11" s="118"/>
      <c r="R11" s="118"/>
      <c r="S11" s="118"/>
    </row>
    <row r="12" spans="1:26" ht="18" x14ac:dyDescent="0.4">
      <c r="A12" s="69" t="s">
        <v>321</v>
      </c>
      <c r="B12" s="70" t="s">
        <v>322</v>
      </c>
      <c r="C12" s="126">
        <f>SUMIF(FP!J:J,Doklady!$B$1&amp;A12,FP!D:D)</f>
        <v>2600</v>
      </c>
      <c r="D12" s="126">
        <f>C12-E12</f>
        <v>2600</v>
      </c>
      <c r="E12" s="342">
        <f>SUMIF(K:K,A12,I:I)</f>
        <v>0</v>
      </c>
      <c r="F12" s="343"/>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2">
        <f>SUMIF(K:K,A13,I:I)</f>
        <v>0</v>
      </c>
      <c r="F13" s="343"/>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2" t="s">
        <v>337</v>
      </c>
      <c r="C16" s="363"/>
      <c r="D16" s="363"/>
      <c r="E16" s="363"/>
      <c r="F16" s="363"/>
      <c r="G16" s="363"/>
      <c r="H16" s="364"/>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7" t="s">
        <v>340</v>
      </c>
      <c r="C17" s="357"/>
      <c r="D17" s="357"/>
      <c r="E17" s="357"/>
      <c r="F17" s="357"/>
      <c r="G17" s="357"/>
      <c r="H17" s="357"/>
      <c r="I17" s="73">
        <f>SUMIF(FP!I:I,Doklady!$B$1&amp;A17,FP!D:D)</f>
        <v>0</v>
      </c>
      <c r="T17" s="86"/>
    </row>
    <row r="18" spans="1:20" x14ac:dyDescent="0.2">
      <c r="A18" s="135" t="s">
        <v>341</v>
      </c>
      <c r="B18" s="357" t="s">
        <v>342</v>
      </c>
      <c r="C18" s="357"/>
      <c r="D18" s="357"/>
      <c r="E18" s="357"/>
      <c r="F18" s="357"/>
      <c r="G18" s="357"/>
      <c r="H18" s="357"/>
      <c r="I18" s="73">
        <f>SUMIF(FP!I:I,Doklady!$B$1&amp;A18,FP!D:D)</f>
        <v>0</v>
      </c>
    </row>
    <row r="19" spans="1:20" x14ac:dyDescent="0.2">
      <c r="A19" s="115" t="s">
        <v>343</v>
      </c>
      <c r="B19" s="357" t="s">
        <v>344</v>
      </c>
      <c r="C19" s="357"/>
      <c r="D19" s="357"/>
      <c r="E19" s="357"/>
      <c r="F19" s="357"/>
      <c r="G19" s="357"/>
      <c r="H19" s="357"/>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65" t="s">
        <v>350</v>
      </c>
      <c r="C22" s="366"/>
      <c r="D22" s="366"/>
      <c r="E22" s="366"/>
      <c r="F22" s="366"/>
      <c r="G22" s="366"/>
      <c r="H22" s="367"/>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58" t="s">
        <v>2235</v>
      </c>
      <c r="C25" s="359"/>
      <c r="D25" s="359"/>
      <c r="E25" s="359"/>
      <c r="F25" s="359"/>
      <c r="G25" s="359"/>
      <c r="H25" s="360"/>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2600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68"/>
      <c r="C32" s="369"/>
      <c r="D32" s="369"/>
      <c r="E32" s="369"/>
      <c r="F32" s="369"/>
      <c r="G32" s="369"/>
      <c r="H32" s="370"/>
      <c r="I32" s="73">
        <f>SUMIF(FP!I:I,Doklady!$B$1&amp;A32,FP!D:D)</f>
        <v>0</v>
      </c>
      <c r="T32" s="86"/>
    </row>
    <row r="33" spans="1:21" hidden="1" x14ac:dyDescent="0.2">
      <c r="A33" s="115" t="s">
        <v>367</v>
      </c>
      <c r="B33" s="368"/>
      <c r="C33" s="369"/>
      <c r="D33" s="369"/>
      <c r="E33" s="369"/>
      <c r="F33" s="369"/>
      <c r="G33" s="369"/>
      <c r="H33" s="370"/>
      <c r="I33" s="73">
        <f>SUMIF(FP!I:I,Doklady!$B$1&amp;A33,FP!D:D)</f>
        <v>0</v>
      </c>
      <c r="T33" s="86"/>
    </row>
    <row r="34" spans="1:21" hidden="1" x14ac:dyDescent="0.2">
      <c r="A34" s="135" t="s">
        <v>368</v>
      </c>
      <c r="B34" s="371"/>
      <c r="C34" s="371"/>
      <c r="D34" s="371"/>
      <c r="E34" s="371"/>
      <c r="F34" s="371"/>
      <c r="G34" s="371"/>
      <c r="H34" s="371"/>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4"/>
      <c r="B50" s="345"/>
      <c r="C50" s="345"/>
      <c r="D50" s="345"/>
      <c r="E50" s="345"/>
      <c r="F50" s="345"/>
      <c r="G50" s="345"/>
      <c r="H50" s="345"/>
      <c r="I50" s="345"/>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Satellite Tour v stolnom tenise 2025</v>
      </c>
      <c r="C53" s="73">
        <f>IF(A53&lt;&gt;"",INDEX(FP!D:D,Doklady!B$2+(ROW()-53)),"")</f>
        <v>2600</v>
      </c>
      <c r="D53" s="73">
        <f>IF(A53&lt;&gt;"",Doklady!I1-Doklady!J1,"")</f>
        <v>2600</v>
      </c>
      <c r="E53" s="73">
        <f>IF(A53&lt;&gt;"",MIN(D53,C53)*Doklady!C1/(1-Doklady!C1),"")</f>
        <v>0</v>
      </c>
      <c r="F53" s="71">
        <f>IF(A53&lt;&gt;"",Doklady!J1,"")</f>
        <v>0</v>
      </c>
      <c r="G53" s="73">
        <f>+IFERROR(HLOOKUP(IF(RIGHT(B53,15)="bežné transfery",LEFT(B53,LEN(B53)-18),0),$J$40:$K$42,3,0),MIN(C53,D53))</f>
        <v>2600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2600</v>
      </c>
      <c r="D130" s="228">
        <f t="shared" ref="D130:I130" si="9">SUM(D53:D129)</f>
        <v>2600</v>
      </c>
      <c r="E130" s="228">
        <f t="shared" si="9"/>
        <v>0</v>
      </c>
      <c r="F130" s="228">
        <f t="shared" si="9"/>
        <v>0</v>
      </c>
      <c r="G130" s="228">
        <f t="shared" si="9"/>
        <v>2600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89">
        <v>46056</v>
      </c>
      <c r="C140" s="229"/>
      <c r="D140" s="361" t="s">
        <v>751</v>
      </c>
      <c r="E140" s="361"/>
      <c r="F140" s="361"/>
      <c r="G140" s="361"/>
      <c r="H140" s="361"/>
      <c r="I140" s="361"/>
      <c r="J140" s="85"/>
    </row>
    <row r="141" spans="1:26" ht="68.25" customHeight="1" x14ac:dyDescent="0.25">
      <c r="A141" s="9"/>
      <c r="B141" s="280" t="s">
        <v>3000</v>
      </c>
      <c r="C141" s="214"/>
      <c r="D141" s="341" t="s">
        <v>393</v>
      </c>
      <c r="E141" s="341"/>
      <c r="F141" s="341"/>
      <c r="G141" s="341"/>
      <c r="H141" s="341"/>
      <c r="I141" s="341"/>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3" zoomScaleNormal="100" workbookViewId="0">
      <selection activeCell="B113" sqref="B113"/>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m - Satellite Tour v stolnom tenise 2025</v>
      </c>
      <c r="B1" s="232" t="str">
        <f>INDEX(Adr!A:A,B102+1)</f>
        <v>51806606</v>
      </c>
      <c r="C1" s="233">
        <f>IF(ROW()&lt;=B$3,INDEX(FP!E:E,B$2+ROW()-1),"")</f>
        <v>0</v>
      </c>
      <c r="D1" s="234" t="str">
        <f>IF(ROW()&lt;=B$3,INDEX(FP!F:F,B$2+ROW()-1),"")</f>
        <v>m</v>
      </c>
      <c r="E1" s="234"/>
      <c r="F1" s="234" t="str">
        <f>IF(ROW()&lt;=B$3,INDEX(FP!G:G,B$2+ROW()-1),"")</f>
        <v>026 03</v>
      </c>
      <c r="G1" s="234"/>
      <c r="H1" s="235" t="str">
        <f>IF(ROW()&lt;=B$3,INDEX(FP!C:C,B$2+ROW()-1),"")</f>
        <v>Satellite Tour v stolnom tenise 2025</v>
      </c>
      <c r="I1" s="236">
        <f t="shared" ref="I1:I6" si="0">IF(ROW()&lt;=B$3,SUMIF(A$107:A$10042,A1,I$107:I$10042),"")</f>
        <v>2600</v>
      </c>
      <c r="J1" s="236">
        <f t="shared" ref="J1:J32" si="1">IF(ROW()&lt;=B$3,SUMIFS(I$103:I$50042,A$103:A$50042,K1,J$103:J$50042,L1),"")</f>
        <v>0</v>
      </c>
      <c r="K1" s="110" t="str">
        <f>$A1</f>
        <v>m - Satellite Tour v stolnom tenise 2025</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451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2" t="s">
        <v>329</v>
      </c>
      <c r="B100" s="372"/>
      <c r="C100" s="372"/>
      <c r="D100" s="372"/>
      <c r="E100" s="372"/>
      <c r="F100" s="372"/>
      <c r="G100" s="372"/>
      <c r="H100" s="372"/>
      <c r="I100" s="374" t="s">
        <v>2991</v>
      </c>
      <c r="J100" s="374"/>
      <c r="K100" s="89"/>
    </row>
    <row r="101" spans="1:25" ht="15.5" x14ac:dyDescent="0.35">
      <c r="A101" s="372"/>
      <c r="B101" s="372"/>
      <c r="C101" s="372"/>
      <c r="D101" s="372"/>
      <c r="E101" s="372"/>
      <c r="F101" s="372"/>
      <c r="G101" s="372"/>
      <c r="H101" s="372"/>
      <c r="I101" s="373">
        <v>45961</v>
      </c>
      <c r="J101" s="373"/>
    </row>
    <row r="102" spans="1:25" ht="14" x14ac:dyDescent="0.3">
      <c r="A102" s="249" t="s">
        <v>398</v>
      </c>
      <c r="B102" s="250">
        <v>188</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5" t="s">
        <v>407</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3001</v>
      </c>
      <c r="B107" s="14" t="s">
        <v>3002</v>
      </c>
      <c r="C107" s="14" t="s">
        <v>3003</v>
      </c>
      <c r="D107" s="16">
        <v>45897.8</v>
      </c>
      <c r="E107" s="16"/>
      <c r="F107" s="14" t="s">
        <v>3004</v>
      </c>
      <c r="G107" s="14" t="s">
        <v>3005</v>
      </c>
      <c r="H107" s="14" t="s">
        <v>3006</v>
      </c>
      <c r="I107" s="15">
        <v>1000</v>
      </c>
      <c r="J107" s="77"/>
      <c r="K107" s="92"/>
    </row>
    <row r="108" spans="1:25" ht="12.5" x14ac:dyDescent="0.25">
      <c r="A108" s="14" t="s">
        <v>3001</v>
      </c>
      <c r="B108" s="14" t="s">
        <v>3008</v>
      </c>
      <c r="C108" s="14" t="s">
        <v>3009</v>
      </c>
      <c r="D108" s="16">
        <v>45897</v>
      </c>
      <c r="E108" s="16"/>
      <c r="F108" s="14" t="s">
        <v>3007</v>
      </c>
      <c r="G108" s="14" t="s">
        <v>3005</v>
      </c>
      <c r="H108" s="14" t="s">
        <v>3006</v>
      </c>
      <c r="I108" s="15">
        <v>1200</v>
      </c>
      <c r="J108" s="77"/>
      <c r="K108" s="92"/>
    </row>
    <row r="109" spans="1:25" ht="12.5" x14ac:dyDescent="0.25">
      <c r="A109" s="14" t="s">
        <v>3001</v>
      </c>
      <c r="B109" s="14" t="s">
        <v>3010</v>
      </c>
      <c r="C109" s="14" t="s">
        <v>3011</v>
      </c>
      <c r="D109" s="16">
        <v>45915</v>
      </c>
      <c r="E109" s="16"/>
      <c r="F109" s="14" t="s">
        <v>3012</v>
      </c>
      <c r="G109" s="14" t="s">
        <v>3013</v>
      </c>
      <c r="H109" s="14" t="s">
        <v>3014</v>
      </c>
      <c r="I109" s="15">
        <v>400</v>
      </c>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5"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5"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5"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5"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5"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5"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5"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5"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5"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2.5"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2.5" x14ac:dyDescent="0.2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2.5" x14ac:dyDescent="0.2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2.5" x14ac:dyDescent="0.2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2.5" x14ac:dyDescent="0.2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2.5" x14ac:dyDescent="0.2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2.5" x14ac:dyDescent="0.2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2.5" x14ac:dyDescent="0.2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2.5" x14ac:dyDescent="0.2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5" x14ac:dyDescent="0.2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2.5" x14ac:dyDescent="0.2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2.5" x14ac:dyDescent="0.2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6"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79" t="str">
        <f>Spolu!C3&amp;", "&amp;Spolu!C6</f>
        <v>ST Relax, Karpatské námestie 7770/8, Bratislava, 831 06</v>
      </c>
      <c r="B1" s="379"/>
      <c r="C1" s="379"/>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0" t="s">
        <v>1251</v>
      </c>
      <c r="F3" s="381"/>
      <c r="N3" s="137" t="str">
        <f t="shared" si="0"/>
        <v>c - príspevok Slovenskému paralympijskému výboru</v>
      </c>
      <c r="O3" s="137" t="s">
        <v>343</v>
      </c>
      <c r="P3" s="137" t="s">
        <v>344</v>
      </c>
    </row>
    <row r="4" spans="1:16" ht="45.75" customHeight="1" x14ac:dyDescent="0.25">
      <c r="E4" s="381"/>
      <c r="F4" s="381"/>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2" t="s">
        <v>1263</v>
      </c>
      <c r="B12" s="382"/>
      <c r="C12" s="38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1265</v>
      </c>
    </row>
    <row r="15" spans="1:16" ht="32.15" customHeight="1" thickBot="1" x14ac:dyDescent="0.3">
      <c r="A15" s="139" t="s">
        <v>1266</v>
      </c>
      <c r="B15" s="384" t="s">
        <v>1267</v>
      </c>
      <c r="C15" s="385"/>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51806606</v>
      </c>
      <c r="E18" s="147" t="s">
        <v>1275</v>
      </c>
      <c r="F18" s="281">
        <v>421947749446</v>
      </c>
      <c r="N18" s="137" t="str">
        <f t="shared" si="0"/>
        <v xml:space="preserve">r - </v>
      </c>
      <c r="O18" s="137" t="s">
        <v>368</v>
      </c>
    </row>
    <row r="19" spans="1:16" x14ac:dyDescent="0.25">
      <c r="E19" s="147" t="s">
        <v>1276</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8" t="s">
        <v>1277</v>
      </c>
      <c r="C22" s="37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Anton Hamran</cp:lastModifiedBy>
  <cp:revision/>
  <cp:lastPrinted>2026-02-03T16:32:31Z</cp:lastPrinted>
  <dcterms:created xsi:type="dcterms:W3CDTF">2017-02-20T06:20:12Z</dcterms:created>
  <dcterms:modified xsi:type="dcterms:W3CDTF">2026-02-03T16:36:02Z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