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D:\SCU_CHEER\PUŠ\2025\PUŠ_čerpanie\FINAL_2025\"/>
    </mc:Choice>
  </mc:AlternateContent>
  <xr:revisionPtr revIDLastSave="0" documentId="13_ncr:1_{9B5A542F-86C4-4949-94A9-8F0F786B0171}"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<sst xmlns="http://schemas.openxmlformats.org/spreadsheetml/2006/main" count="5060" uniqueCount="2368">
  <si>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</si>
  <si>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</si>
  <si>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</si>
  <si>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</si>
  <si>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</si>
  <si>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</si>
  <si>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</si>
  <si>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</si>
  <si>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</si>
  <si>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</si>
  <si>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</si>
  <si>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</si>
  <si>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</si>
  <si>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</si>
  <si>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</si>
  <si>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</si>
  <si>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</si>
  <si>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</si>
  <si>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</si>
  <si>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</si>
  <si>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</si>
  <si>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</si>
  <si>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</si>
  <si>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</si>
  <si>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</si>
  <si>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</si>
  <si>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</si>
  <si>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</si>
  <si>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</si>
  <si>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</si>
  <si>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</si>
  <si>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</si>
  <si>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</si>
  <si>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</si>
  <si>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</si>
  <si>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</si>
  <si>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</si>
  <si>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</si>
  <si>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</si>
  <si>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</si>
  <si>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</si>
  <si>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</si>
  <si>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</si>
  <si>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</si>
  <si>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</si>
  <si>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</si>
  <si>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</si>
  <si>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</si>
  <si>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</si>
  <si>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</si>
  <si>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</si>
  <si>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</si>
  <si>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</si>
  <si>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</si>
  <si>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</si>
  <si>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</si>
  <si>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</si>
  <si>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</si>
  <si>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</si>
  <si>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</si>
  <si>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</si>
  <si>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</si>
  <si>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</si>
  <si>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</si>
  <si>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</si>
  <si>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</si>
  <si>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</si>
  <si>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</si>
  <si>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</si>
  <si>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</si>
  <si>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</si>
  <si>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</si>
  <si>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</si>
  <si>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</si>
  <si>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</si>
  <si>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</si>
  <si>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</si>
  <si>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</si>
  <si>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</si>
  <si>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</si>
  <si>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</si>
  <si>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</si>
  <si>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</si>
  <si>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</si>
  <si>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</si>
  <si>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</si>
  <si>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</si>
  <si>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</si>
  <si>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</si>
  <si>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</si>
  <si>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</si>
  <si>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</si>
  <si>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</si>
  <si>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</si>
  <si>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</si>
  <si>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</si>
  <si>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</si>
  <si>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</si>
  <si>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</si>
  <si>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</si>
  <si>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</si>
  <si>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</si>
  <si>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</si>
  <si>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</si>
  <si>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</si>
  <si>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</si>
  <si>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</si>
  <si>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</si>
  <si>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</si>
  <si>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</si>
  <si>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</si>
  <si>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</si>
  <si>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</si>
  <si>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</si>
  <si>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</si>
  <si>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</si>
  <si>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</si>
  <si>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</si>
  <si>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</si>
  <si>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</si>
  <si>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</si>
  <si>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</si>
  <si>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</si>
  <si>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</si>
  <si>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</si>
  <si>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</si>
  <si>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</si>
  <si>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</si>
  <si>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</si>
  <si>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</si>
  <si>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</si>
  <si>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</si>
  <si>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</si>
  <si>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</si>
  <si>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</si>
  <si>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</si>
  <si>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</si>
  <si>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</si>
  <si>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</si>
  <si>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</si>
  <si>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</si>
  <si>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</si>
  <si>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</si>
  <si>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</si>
  <si>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</si>
  <si>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</si>
  <si>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</si>
  <si>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</si>
  <si>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</si>
  <si>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</si>
  <si>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</si>
  <si>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</si>
  <si>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</si>
  <si>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</si>
  <si>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</si>
  <si>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</si>
  <si>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</si>
  <si>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</si>
  <si>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</si>
  <si>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</si>
  <si>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</si>
  <si>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</si>
  <si>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</si>
  <si>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</si>
  <si>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</si>
  <si>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</si>
  <si>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</si>
  <si>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</si>
  <si>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</si>
  <si>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</si>
  <si>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</si>
  <si>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</si>
  <si>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</si>
  <si>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</si>
  <si>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</si>
  <si>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</si>
  <si>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</si>
  <si>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</si>
  <si>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</si>
  <si>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</si>
  <si>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</si>
  <si>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</si>
  <si>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</si>
  <si>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</si>
  <si>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</si>
  <si>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</si>
  <si>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</si>
  <si>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</si>
  <si>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</si>
  <si>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</si>
  <si>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</si>
  <si>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</si>
  <si>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</si>
  <si>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</si>
  <si>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</si>
  <si>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</si>
  <si>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</si>
  <si>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</si>
  <si>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</si>
  <si>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</si>
  <si>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</si>
  <si>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</si>
  <si>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</si>
  <si>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</si>
  <si>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</si>
  <si>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</si>
  <si>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</si>
  <si>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</si>
  <si>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</si>
  <si>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</si>
  <si>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</si>
  <si>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</si>
  <si>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</si>
  <si>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</si>
  <si>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</si>
  <si>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</si>
  <si>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</si>
  <si>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</si>
  <si>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</si>
  <si>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</si>
  <si>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</si>
  <si>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</si>
  <si>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</si>
  <si>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</si>
  <si>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</si>
  <si>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</si>
  <si>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</si>
  <si>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</si>
  <si>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</si>
  <si>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</si>
  <si>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</si>
  <si>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</si>
  <si>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</si>
  <si>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</si>
  <si>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</si>
  <si>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</si>
  <si>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</si>
  <si>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</si>
  <si>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</si>
  <si>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</si>
  <si>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</si>
  <si>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</si>
  <si>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</si>
  <si>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</si>
  <si>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</si>
  <si>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</si>
  <si>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</si>
  <si>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</si>
  <si>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</si>
  <si>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</si>
  <si>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</si>
  <si>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</si>
  <si>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</si>
  <si>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</si>
  <si>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</si>
  <si>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</si>
  <si>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</si>
  <si>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</si>
  <si>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</si>
  <si>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</si>
  <si>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</si>
  <si>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</si>
  <si>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</si>
  <si>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</si>
  <si>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</si>
  <si>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</si>
  <si>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</si>
  <si>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</si>
  <si>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</si>
  <si>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</si>
  <si>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</si>
  <si>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</si>
  <si>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</si>
  <si>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</si>
  <si>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</si>
  <si>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</si>
  <si>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</si>
  <si>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</si>
  <si>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</si>
  <si>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</si>
  <si>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</si>
  <si>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</si>
  <si>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</si>
  <si>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</si>
  <si>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</si>
  <si>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</si>
  <si>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</si>
  <si>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</si>
  <si>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</si>
  <si>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</si>
  <si>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</si>
  <si>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</si>
  <si>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</si>
  <si>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</si>
  <si>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</si>
  <si>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</si>
  <si>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</si>
  <si>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</si>
  <si>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</si>
  <si>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</si>
  <si>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</si>
  <si>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</si>
  <si>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</si>
  <si>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</si>
  <si>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</si>
  <si>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</si>
  <si>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</si>
  <si>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</si>
  <si>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</si>
  <si>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</si>
  <si>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</si>
  <si>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</si>
  <si>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</si>
  <si>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</si>
  <si>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</si>
  <si>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</si>
  <si>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</si>
  <si>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</si>
  <si>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</si>
  <si>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</si>
  <si>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</si>
  <si>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</si>
  <si>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</si>
  <si>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</si>
  <si>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</si>
  <si>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</si>
  <si>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</si>
  <si>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</si>
  <si>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</si>
  <si>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</si>
  <si>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</si>
  <si>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</si>
  <si>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</si>
  <si>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</si>
  <si>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</si>
  <si>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</si>
  <si>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</si>
  <si>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</si>
  <si>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</si>
  <si>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</si>
  <si>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</si>
  <si>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</si>
  <si>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</si>
  <si>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</si>
  <si>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</si>
  <si>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</si>
  <si>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</si>
  <si>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</si>
  <si>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</si>
  <si>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</si>
  <si>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</si>
  <si>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</si>
  <si>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</si>
  <si>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</si>
  <si>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</si>
  <si>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</si>
  <si>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</si>
  <si>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</si>
  <si>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</si>
  <si>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</si>
  <si>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</si>
  <si>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</si>
  <si>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</si>
  <si>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</si>
  <si>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</si>
  <si>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</si>
  <si>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</si>
  <si>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</si>
  <si>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</si>
  <si>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</si>
  <si>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</si>
  <si>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</si>
  <si>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</si>
  <si>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</si>
  <si>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</si>
  <si>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</si>
  <si>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</si>
  <si>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</si>
  <si>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</si>
  <si>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</si>
  <si>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</si>
  <si>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</si>
  <si>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</si>
  <si>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</si>
  <si>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</si>
  <si>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</si>
  <si>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</si>
  <si>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</si>
  <si>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</si>
  <si>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</si>
  <si>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</si>
  <si>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</si>
  <si>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</si>
  <si>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</si>
  <si>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</si>
  <si>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</si>
  <si>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</si>
  <si>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</si>
  <si>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</si>
  <si>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</si>
  <si>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</si>
  <si>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</si>
  <si>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</si>
  <si>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</si>
  <si>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</si>
  <si>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</si>
  <si>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</si>
  <si>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</si>
  <si>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</si>
  <si>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</si>
  <si>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</si>
  <si>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</si>
  <si>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</si>
  <si>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</si>
  <si>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</si>
  <si>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</si>
  <si>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</si>
  <si>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</si>
  <si>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</si>
  <si>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</si>
  <si>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</si>
  <si>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</si>
  <si>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</si>
  <si>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</si>
  <si>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</si>
  <si>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</si>
  <si>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</si>
  <si>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</si>
  <si>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</si>
  <si>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</si>
  <si>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</si>
  <si>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</si>
  <si>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</si>
  <si>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</si>
  <si>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</si>
  <si>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</si>
  <si>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</si>
  <si>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</si>
  <si>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</si>
  <si>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</si>
  <si>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</si>
  <si>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</si>
  <si>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</si>
  <si>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</si>
  <si>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</si>
  <si>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</si>
  <si>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</si>
  <si>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</si>
  <si>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</si>
  <si>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</si>
  <si>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</si>
  <si>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</si>
  <si>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</si>
  <si>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</si>
  <si>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</si>
  <si>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</si>
  <si>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</si>
  <si>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</si>
  <si>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</si>
  <si>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</si>
  <si>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</si>
  <si>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</si>
  <si>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</si>
  <si>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</si>
  <si>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</si>
  <si>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</si>
  <si>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</si>
  <si>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</si>
  <si>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</si>
  <si>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</si>
  <si>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</si>
  <si>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</si>
  <si>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</si>
  <si>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</si>
  <si>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</si>
  <si>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</si>
  <si>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</si>
  <si>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</si>
  <si>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</si>
  <si>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</si>
  <si>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</si>
  <si>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</si>
  <si>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</si>
  <si>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</si>
  <si>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</si>
  <si>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</si>
  <si>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</si>
  <si>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</si>
  <si>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</si>
  <si>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</si>
  <si>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</si>
  <si>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</si>
  <si>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</si>
  <si>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</si>
  <si>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</si>
  <si>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</si>
  <si>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</si>
  <si>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</si>
  <si>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</si>
  <si>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</si>
  <si>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</si>
  <si>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</si>
  <si>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</si>
  <si>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</si>
  <si>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</si>
  <si>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</si>
  <si>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</si>
  <si>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</si>
  <si>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</si>
  <si>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</si>
  <si>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</si>
  <si>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</si>
  <si>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</si>
  <si>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</si>
  <si>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</si>
  <si>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</si>
  <si>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</si>
  <si>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</si>
  <si>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</si>
  <si>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</si>
  <si>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</si>
  <si>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</si>
  <si>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</si>
  <si>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</si>
  <si>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</si>
  <si>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</si>
  <si>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</si>
  <si>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</si>
  <si>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</si>
  <si>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</si>
  <si>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</si>
  <si>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</si>
  <si>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</si>
  <si>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</si>
  <si>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</si>
  <si>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</si>
  <si>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</si>
  <si>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</si>
  <si>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</si>
  <si>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</si>
  <si>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</si>
  <si>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</si>
  <si>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</si>
  <si>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</si>
  <si>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</si>
  <si>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</si>
  <si>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</si>
  <si>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</si>
  <si>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</si>
  <si>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</si>
  <si>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</si>
  <si>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</si>
  <si>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</si>
  <si>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</si>
  <si>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</si>
  <si>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</si>
  <si>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</si>
  <si>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</si>
  <si>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</si>
  <si>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</si>
  <si>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</si>
  <si>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</si>
  <si>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</si>
  <si>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</si>
  <si>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</si>
  <si>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</si>
  <si>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</si>
  <si>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</si>
  <si>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</si>
  <si>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</si>
  <si>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</si>
  <si>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</si>
  <si>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</si>
  <si>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</si>
  <si>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</si>
  <si>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</si>
  <si>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</si>
  <si>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</si>
  <si>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</si>
  <si>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</si>
  <si>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</si>
  <si>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</si>
  <si>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</si>
  <si>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</si>
  <si>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</si>
  <si>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</si>
  <si>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</si>
  <si>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</si>
  <si>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</si>
  <si>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</si>
  <si>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</si>
  <si>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</si>
  <si>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</si>
  <si>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</si>
  <si>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</si>
  <si>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</si>
  <si>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</si>
  <si>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</si>
  <si>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</si>
  <si>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</si>
  <si>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</si>
  <si>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</si>
  <si>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</si>
  <si>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</si>
  <si>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</si>
  <si>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</si>
  <si>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</si>
  <si>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</si>
  <si>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</si>
  <si>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</si>
  <si>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</si>
  <si>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</si>
  <si>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</si>
  <si>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</si>
  <si>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</si>
  <si>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</si>
  <si>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</si>
  <si>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</si>
  <si>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</si>
  <si>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</si>
  <si>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</si>
  <si>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</si>
  <si>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</si>
  <si>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</si>
  <si>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</si>
  <si>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</si>
  <si>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</si>
  <si>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</si>
  <si>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</si>
  <si>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</si>
  <si>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</si>
  <si>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</si>
  <si>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</si>
  <si>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</si>
  <si>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</si>
  <si>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</si>
  <si>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</si>
  <si>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</si>
  <si>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</si>
  <si>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</si>
  <si>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</si>
  <si>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</si>
  <si>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</si>
  <si>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</si>
  <si>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</si>
  <si>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</si>
  <si>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</si>
  <si>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</si>
  <si>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</si>
  <si>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</si>
  <si>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</si>
  <si>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</si>
  <si>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</si>
  <si>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</si>
  <si>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</si>
  <si>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</si>
  <si>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</si>
  <si>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</si>
  <si>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</si>
  <si>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</si>
  <si>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</si>
  <si>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</si>
  <si>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</si>
  <si>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</si>
  <si>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</si>
  <si>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</si>
  <si>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</si>
  <si>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</si>
  <si>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</si>
  <si>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</si>
  <si>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</si>
  <si>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</si>
  <si>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</si>
  <si>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</si>
  <si>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</si>
  <si>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</si>
  <si>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</si>
  <si>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</si>
  <si>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</si>
  <si>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</si>
  <si>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</si>
  <si>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</si>
  <si>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</si>
  <si>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</si>
  <si>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</si>
  <si>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</si>
  <si>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</si>
  <si>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</si>
  <si>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</si>
  <si>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</si>
  <si>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</si>
  <si>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</si>
  <si>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</si>
  <si>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</si>
  <si>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</si>
  <si>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</si>
  <si>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</si>
  <si>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</si>
  <si>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</si>
  <si>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</si>
  <si>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</si>
  <si>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</si>
  <si>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</si>
  <si>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</si>
  <si>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</si>
  <si>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</si>
  <si>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</si>
  <si>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</si>
  <si>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</si>
  <si>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</si>
  <si>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</si>
  <si>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</si>
  <si>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</si>
  <si>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</si>
  <si>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</si>
  <si>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</si>
  <si>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</si>
  <si>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</si>
  <si>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</si>
  <si>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</si>
  <si>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</si>
  <si>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</si>
  <si>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</si>
  <si>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</si>
  <si>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</si>
  <si>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</si>
  <si>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</si>
  <si>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</si>
  <si>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</si>
  <si>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</si>
  <si>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</si>
  <si>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</si>
  <si>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</si>
  <si>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</si>
  <si>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</si>
  <si>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</si>
  <si>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</si>
  <si>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</si>
  <si>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</si>
  <si>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</si>
  <si>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</si>
  <si>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</si>
  <si>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</si>
  <si>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</si>
  <si>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</si>
  <si>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</si>
  <si>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</si>
  <si>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</si>
  <si>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</si>
  <si>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</si>
  <si>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</si>
  <si>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</si>
  <si>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</si>
  <si>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</si>
  <si>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</si>
  <si>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</si>
  <si>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</si>
  <si>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</si>
  <si>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</si>
  <si>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</si>
  <si>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</si>
  <si>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</si>
  <si>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</si>
  <si>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</si>
  <si>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</si>
  <si>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</si>
  <si>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</si>
  <si>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</si>
  <si>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</si>
  <si>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</si>
  <si>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</si>
  <si>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</si>
  <si>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</si>
  <si>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</si>
  <si>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</si>
  <si>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</si>
  <si>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</si>
  <si>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</si>
  <si>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</si>
  <si>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</si>
  <si>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</si>
  <si>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</si>
  <si>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</si>
  <si>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</si>
  <si>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</si>
  <si>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</si>
  <si>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</si>
  <si>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</si>
  <si>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</si>
  <si>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</si>
  <si>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</si>
  <si>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</si>
  <si>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</si>
  <si>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</si>
  <si>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</si>
  <si>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</si>
  <si>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</si>
  <si>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</si>
  <si>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</si>
  <si>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</si>
  <si>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</si>
  <si>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</si>
  <si>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</si>
  <si>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</si>
  <si>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</si>
  <si>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</si>
  <si>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</si>
  <si>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</si>
  <si>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</si>
  <si>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</si>
  <si>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</si>
  <si>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</si>
  <si>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</si>
  <si>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</si>
  <si>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</si>
  <si>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</si>
  <si>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</si>
  <si>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</si>
  <si>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</si>
  <si>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</si>
  <si>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</si>
  <si>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</si>
  <si>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</si>
  <si>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</si>
  <si>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</si>
  <si>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</si>
  <si>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</si>
  <si>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</si>
  <si>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</si>
  <si>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</si>
  <si>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</si>
  <si>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</si>
  <si>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</si>
  <si>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</si>
  <si>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</si>
  <si>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</si>
  <si>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</si>
  <si>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</si>
  <si>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</si>
  <si>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</si>
  <si>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</si>
  <si>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</si>
  <si>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</si>
  <si>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</si>
  <si>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</si>
  <si>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</si>
  <si>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</si>
  <si>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</si>
  <si>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</si>
  <si>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</si>
  <si>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</si>
  <si>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</si>
  <si>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</si>
  <si>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</si>
  <si>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</si>
  <si>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</si>
  <si>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</si>
  <si>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</si>
  <si>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</si>
  <si>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</si>
  <si>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</si>
  <si>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</si>
  <si>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</si>
  <si>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</si>
  <si>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</si>
  <si>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</si>
  <si>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</si>
  <si>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</si>
  <si>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</si>
  <si>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</si>
  <si>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</si>
  <si>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</si>
  <si>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</si>
  <si>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</si>
  <si>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</si>
  <si>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</si>
  <si>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</si>
  <si>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</si>
  <si>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</si>
  <si>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</si>
  <si>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</si>
  <si>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</si>
  <si>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</si>
  <si>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</si>
  <si>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</si>
  <si>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</si>
  <si>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</si>
  <si>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</si>
  <si>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</si>
  <si>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</si>
  <si>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</si>
  <si>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</si>
  <si>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</si>
  <si>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</si>
  <si>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</si>
  <si>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</si>
  <si>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</si>
  <si>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</si>
  <si>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</si>
  <si>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</si>
  <si>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</si>
  <si>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</si>
  <si>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</si>
  <si>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</si>
  <si>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</si>
  <si>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</si>
  <si>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</si>
  <si>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</si>
  <si>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</si>
  <si>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</si>
  <si>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</si>
  <si>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</si>
  <si>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</si>
  <si>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</si>
  <si>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</si>
  <si>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</si>
  <si>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</si>
  <si>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</si>
  <si>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</si>
  <si>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</si>
  <si>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</si>
  <si>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</si>
  <si>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</si>
  <si>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</si>
  <si>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</si>
  <si>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</si>
  <si>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</si>
  <si>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</si>
  <si>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</si>
  <si>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</si>
  <si>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</si>
  <si>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</si>
  <si>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</si>
  <si>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</si>
  <si>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</si>
  <si>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</si>
  <si>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</si>
  <si>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</si>
  <si>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</si>
  <si>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</si>
  <si>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</si>
  <si>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</si>
  <si>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</si>
  <si>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</si>
  <si>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</si>
  <si>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</si>
  <si>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</si>
  <si>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</si>
  <si>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</si>
  <si>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</si>
  <si>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</si>
  <si>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</si>
  <si>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</si>
  <si>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</si>
  <si>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</si>
  <si>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</si>
  <si>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</si>
  <si>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</si>
  <si>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</si>
  <si>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</si>
  <si>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</si>
  <si>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</si>
  <si>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</si>
  <si>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</si>
  <si>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</si>
  <si>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</si>
  <si>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</si>
  <si>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</si>
  <si>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</si>
  <si>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</si>
  <si>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</si>
  <si>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</si>
  <si>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</si>
  <si>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</si>
  <si>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</si>
  <si>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</si>
  <si>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</si>
  <si>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</si>
  <si>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</si>
  <si>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</si>
  <si>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</si>
  <si>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</si>
  <si>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</si>
  <si>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</si>
  <si>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</si>
  <si>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</si>
  <si>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</si>
  <si>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</si>
  <si>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</si>
  <si>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</si>
  <si>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</si>
  <si>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</si>
  <si>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</si>
  <si>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</si>
  <si>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</si>
  <si>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</si>
  <si>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</si>
  <si>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</si>
  <si>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</si>
  <si>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</si>
  <si>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</si>
  <si>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</si>
  <si>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</si>
  <si>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</si>
  <si>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</si>
  <si>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</si>
  <si>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</si>
  <si>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</si>
  <si>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</si>
  <si>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</si>
  <si>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</si>
  <si>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</si>
  <si>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</si>
  <si>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</si>
  <si>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</si>
  <si>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</si>
  <si>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</si>
  <si>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</si>
  <si>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</si>
  <si>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</si>
  <si>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</si>
  <si>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</si>
  <si>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</si>
  <si>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</si>
  <si>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</si>
  <si>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</si>
  <si>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</si>
  <si>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</si>
  <si>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</si>
  <si>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</si>
  <si>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</si>
  <si>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</si>
  <si>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</si>
  <si>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</si>
  <si>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</si>
  <si>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</si>
  <si>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</si>
  <si>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</si>
  <si>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</si>
  <si>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</si>
  <si>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</si>
  <si>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</si>
  <si>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</si>
  <si>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</si>
  <si>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</si>
  <si>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</si>
  <si>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</si>
  <si>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</si>
  <si>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</si>
  <si>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</si>
  <si>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</si>
  <si>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</si>
  <si>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</si>
  <si>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</si>
  <si>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</si>
  <si>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</si>
  <si>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</si>
  <si>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</si>
  <si>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</si>
  <si>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</si>
  <si>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</si>
  <si>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</si>
  <si>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</si>
  <si>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</si>
  <si>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</si>
  <si>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</si>
  <si>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</si>
  <si>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</si>
  <si>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</si>
  <si>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</si>
  <si>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</si>
  <si>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</si>
  <si>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</si>
  <si>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</si>
  <si>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</si>
  <si>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</si>
  <si>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</si>
  <si>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</si>
  <si>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</si>
  <si>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</si>
  <si>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</si>
  <si>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</si>
  <si>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</si>
  <si>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</si>
  <si>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</si>
  <si>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</si>
  <si>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</si>
  <si>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</si>
  <si>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</si>
  <si>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</si>
  <si>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</si>
  <si>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</si>
  <si>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</si>
  <si>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</si>
  <si>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</si>
  <si>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</si>
  <si>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</si>
  <si>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</si>
  <si>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</si>
  <si>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</si>
  <si>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</si>
  <si>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</si>
  <si>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</si>
  <si>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</si>
  <si>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</si>
  <si>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</si>
  <si>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</si>
  <si>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</si>
  <si>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</si>
  <si>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</si>
  <si>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</si>
  <si>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</si>
  <si>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</si>
  <si>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</si>
  <si>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</si>
  <si>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</si>
  <si>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</si>
  <si>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</si>
  <si>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</si>
  <si>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</si>
  <si>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</si>
  <si>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</si>
  <si>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</si>
  <si>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</si>
  <si>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</si>
  <si>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</si>
  <si>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</si>
  <si>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</si>
  <si>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</si>
  <si>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</si>
  <si>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</si>
  <si>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</si>
  <si>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</si>
  <si>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</si>
  <si>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</si>
  <si>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</si>
  <si>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</si>
  <si>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</si>
  <si>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</si>
  <si>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</si>
  <si>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</si>
  <si>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</si>
  <si>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</si>
  <si>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</si>
  <si>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</si>
  <si>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</si>
  <si>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</si>
  <si>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</si>
  <si>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</si>
  <si>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</si>
  <si>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</si>
  <si>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</si>
  <si>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</si>
  <si>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</si>
  <si>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</si>
  <si>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</si>
  <si>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</si>
  <si>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</si>
  <si>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</si>
  <si>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</si>
  <si>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</si>
  <si>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</si>
  <si>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</si>
  <si>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</si>
  <si>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</si>
  <si>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</si>
  <si>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</si>
  <si>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</si>
  <si>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</si>
  <si>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</si>
  <si>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</si>
  <si>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</si>
  <si>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</si>
  <si>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</si>
  <si>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</si>
  <si>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</si>
  <si>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</si>
  <si>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</si>
  <si>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</si>
  <si>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</si>
  <si>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</si>
  <si>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</si>
  <si>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</si>
  <si>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</si>
  <si>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</si>
  <si>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</si>
  <si>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</si>
  <si>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</si>
  <si>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</si>
  <si>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</si>
  <si>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</si>
  <si>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</si>
  <si>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</si>
  <si>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</si>
  <si>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</si>
  <si>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</si>
  <si>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</si>
  <si>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</si>
  <si>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</si>
  <si>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</si>
  <si>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</si>
  <si>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</si>
  <si>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</si>
  <si>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</si>
  <si>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</si>
  <si>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</si>
  <si>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</si>
  <si>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</si>
  <si>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</si>
  <si>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</si>
  <si>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</si>
  <si>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</si>
  <si>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</si>
  <si>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</si>
  <si>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</si>
  <si>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</si>
  <si>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</si>
  <si>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</si>
  <si>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</si>
  <si>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</si>
  <si>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</si>
  <si>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</si>
  <si>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</si>
  <si>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</si>
  <si>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</si>
  <si>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</si>
  <si>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</si>
  <si>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</si>
  <si>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</si>
  <si>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</si>
  <si>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</si>
  <si>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</si>
  <si>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</si>
  <si>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</si>
  <si>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</si>
  <si>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</si>
  <si>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</si>
  <si>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</si>
  <si>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</si>
  <si>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</si>
  <si>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</si>
  <si>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</si>
  <si>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</si>
  <si>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</si>
  <si>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</si>
  <si>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</si>
  <si>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</si>
  <si>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</si>
  <si>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</si>
  <si>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</si>
  <si>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</si>
  <si>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</si>
  <si>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</si>
  <si>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</si>
  <si>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</si>
  <si>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</si>
  <si>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</si>
  <si>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</si>
  <si>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</si>
  <si>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</si>
  <si>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</si>
  <si>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</si>
  <si>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</si>
  <si>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</si>
  <si>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</si>
  <si>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</si>
  <si>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</si>
  <si>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</si>
  <si>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</si>
  <si>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</si>
  <si>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</si>
  <si>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</si>
  <si>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</si>
  <si>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</si>
  <si>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</si>
  <si>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</si>
  <si>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</si>
  <si>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</si>
  <si>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</si>
  <si>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</si>
  <si>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</si>
  <si>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</si>
  <si>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</si>
  <si>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</si>
  <si>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</si>
  <si>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</si>
  <si>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</si>
  <si>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</si>
  <si>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</si>
  <si>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</si>
  <si>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</si>
  <si>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</si>
  <si>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</si>
  <si>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</si>
  <si>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</si>
  <si>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</si>
  <si>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</si>
  <si>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</si>
  <si>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</si>
  <si>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</si>
  <si>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</si>
  <si>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</si>
  <si>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</si>
  <si>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</si>
  <si>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</si>
  <si>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</si>
  <si>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</si>
  <si>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</si>
  <si>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</si>
  <si>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</si>
  <si>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</si>
  <si>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</si>
  <si>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</si>
  <si>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</si>
  <si>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</si>
  <si>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</si>
  <si>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</si>
  <si>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</si>
  <si>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</si>
  <si>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</si>
  <si>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</si>
  <si>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</si>
  <si>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</si>
  <si>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</si>
  <si>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</si>
  <si>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</si>
  <si>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</si>
  <si>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</si>
  <si>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</si>
  <si>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</si>
  <si>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</si>
  <si>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</si>
  <si>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</si>
  <si>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</si>
  <si>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</si>
  <si>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</si>
  <si>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</si>
  <si>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</si>
  <si>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</si>
  <si>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</si>
  <si>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</si>
  <si>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</si>
  <si>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</si>
  <si>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</si>
  <si>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</si>
  <si>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</si>
  <si>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</si>
  <si>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</si>
  <si>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</si>
  <si>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</si>
  <si>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</si>
  <si>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</si>
  <si>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</si>
  <si>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</si>
  <si>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</si>
  <si>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</si>
  <si>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</si>
  <si>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</si>
  <si>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</si>
  <si>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</si>
  <si>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</si>
  <si>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</si>
  <si>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</si>
  <si>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</si>
  <si>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</si>
  <si>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</si>
  <si>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</si>
  <si>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</si>
  <si>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</si>
  <si>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</si>
  <si>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</si>
  <si>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</si>
  <si>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</si>
  <si>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</si>
  <si>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</si>
  <si>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</si>
  <si>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</si>
  <si>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</si>
  <si>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</si>
  <si>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</si>
  <si>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</si>
  <si>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</si>
  <si>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</si>
  <si>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</si>
  <si>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</si>
  <si>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</si>
  <si>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</si>
  <si>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</si>
  <si>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</si>
  <si>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</si>
  <si>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</si>
  <si>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</si>
  <si>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</si>
  <si>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</si>
  <si>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</si>
  <si>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</si>
  <si>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</si>
  <si>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</si>
  <si>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</si>
  <si>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</si>
  <si>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</si>
  <si>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</si>
  <si>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</si>
  <si>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</si>
  <si>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</si>
  <si>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</si>
  <si>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</si>
  <si>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</si>
  <si>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</si>
  <si>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</si>
  <si>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</si>
  <si>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</si>
  <si>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</si>
  <si>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</si>
  <si>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</si>
  <si>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</si>
  <si>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</si>
  <si>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</si>
  <si>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</si>
  <si>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</si>
  <si>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</si>
  <si>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</si>
  <si>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</si>
  <si>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</si>
  <si>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</si>
  <si>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</si>
  <si>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</si>
  <si>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</si>
  <si>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</si>
  <si>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</si>
  <si>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</si>
  <si>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</si>
  <si>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</si>
  <si>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</si>
  <si>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</si>
  <si>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</si>
  <si>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</si>
  <si>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</si>
  <si>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</si>
  <si>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</si>
  <si>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</si>
  <si>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</si>
  <si>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</si>
  <si>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</si>
  <si>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</si>
  <si>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</si>
  <si>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</si>
  <si>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</si>
  <si>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</si>
  <si>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</si>
  <si>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</si>
  <si>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</si>
  <si>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</si>
  <si>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</si>
  <si>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</si>
  <si>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</si>
  <si>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</si>
  <si>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</si>
  <si>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</si>
  <si>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</si>
  <si>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</si>
  <si>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</si>
  <si>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</si>
  <si>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</si>
  <si>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</si>
  <si>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</si>
  <si>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</si>
  <si>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</si>
  <si>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</si>
  <si>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</si>
  <si>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</si>
  <si>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</si>
  <si>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</si>
  <si>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</si>
  <si>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</si>
  <si>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</si>
  <si>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</si>
  <si>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</si>
  <si>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</si>
  <si>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</si>
  <si>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</si>
  <si>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</si>
  <si>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</si>
  <si>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</si>
  <si>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</si>
  <si>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</si>
  <si>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</si>
  <si>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</si>
  <si>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</si>
  <si>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</si>
  <si>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</si>
  <si>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</si>
  <si>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</si>
  <si>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</si>
  <si>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</si>
  <si>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</si>
  <si>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</si>
  <si>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</si>
  <si>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</si>
  <si>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</si>
  <si>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</si>
  <si>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</si>
  <si>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</si>
  <si>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</si>
  <si>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</si>
  <si>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</si>
  <si>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</si>
  <si>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</si>
  <si>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</si>
  <si>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</si>
  <si>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</si>
  <si>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</si>
  <si>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</si>
  <si>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</si>
  <si>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</si>
  <si>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</si>
  <si>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</si>
  <si>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</si>
  <si>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</si>
  <si>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</si>
  <si>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</si>
  <si>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</si>
  <si>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</si>
  <si>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</si>
  <si>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</si>
  <si>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</si>
  <si>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</si>
  <si>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</si>
  <si>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</si>
  <si>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</si>
  <si>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</si>
  <si>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</si>
  <si>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</si>
  <si>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</si>
  <si>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</si>
  <si>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</si>
  <si>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</si>
  <si>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</si>
  <si>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</si>
  <si>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</si>
  <si>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</si>
  <si>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</si>
  <si>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</si>
  <si>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</si>
  <si>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</si>
  <si>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</si>
  <si>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</si>
  <si>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</si>
  <si>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</si>
  <si>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</si>
  <si>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</si>
  <si>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</si>
  <si>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</si>
  <si>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</si>
  <si>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</si>
  <si>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</si>
  <si>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</si>
  <si>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</si>
  <si>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</si>
  <si>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</si>
  <si>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</si>
  <si>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</si>
  <si>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</si>
  <si>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</si>
  <si>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</si>
  <si>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</si>
  <si>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</si>
  <si>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</si>
  <si>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</si>
  <si>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</si>
  <si>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</si>
  <si>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</si>
  <si>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</si>
  <si>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</si>
  <si>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</si>
  <si>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</si>
  <si>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</si>
  <si>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</si>
  <si>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</si>
  <si>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</si>
  <si>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</si>
  <si>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</si>
  <si>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</si>
  <si>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</si>
  <si>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</si>
  <si>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</si>
  <si>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</si>
  <si>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</si>
  <si>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</si>
  <si>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</si>
  <si>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</si>
  <si>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</si>
  <si>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</si>
  <si>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</si>
  <si>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</si>
  <si>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</si>
  <si>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</si>
  <si>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</si>
  <si>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</si>
  <si>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</si>
  <si>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</si>
  <si>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</si>
  <si>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</si>
  <si>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</si>
  <si>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</si>
  <si>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</si>
  <si>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</si>
  <si>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</si>
  <si>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</si>
  <si>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</si>
  <si>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</si>
  <si>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</si>
  <si>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</si>
  <si>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</si>
  <si>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</si>
  <si>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</si>
  <si>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</si>
  <si>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</si>
  <si>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</si>
  <si>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</si>
  <si>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</si>
  <si>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</si>
  <si>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</si>
  <si>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</si>
  <si>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</si>
  <si>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</si>
  <si>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</si>
  <si>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</si>
  <si>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</si>
  <si>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</si>
  <si>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</si>
  <si>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</si>
  <si>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</si>
  <si>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</si>
  <si>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</si>
  <si>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</si>
  <si>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</si>
  <si>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</si>
  <si>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</si>
  <si>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</si>
  <si>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</si>
  <si>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</si>
  <si>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</si>
  <si>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</si>
  <si>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</si>
  <si>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</si>
  <si>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</si>
  <si>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</si>
  <si>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</si>
  <si>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</si>
  <si>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</si>
  <si>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</si>
  <si>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</si>
  <si>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</si>
  <si>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</si>
  <si>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</si>
  <si>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</si>
  <si>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</si>
  <si>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</si>
  <si>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</si>
  <si>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</si>
  <si>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</si>
  <si>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</si>
  <si>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</si>
  <si>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</si>
  <si>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</si>
  <si>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</si>
  <si>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</si>
  <si>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</si>
  <si>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</si>
  <si>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</si>
  <si>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</si>
  <si>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</si>
  <si>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</si>
  <si>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</si>
  <si>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</si>
  <si>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</si>
  <si>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</si>
  <si>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</si>
  <si>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</si>
  <si>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</si>
  <si>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</si>
  <si>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</si>
  <si>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</si>
  <si>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</si>
  <si>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</si>
  <si>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</si>
  <si>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</si>
  <si>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</si>
  <si>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</si>
  <si>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</si>
  <si>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</si>
  <si>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</si>
  <si>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</si>
  <si>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</si>
  <si>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</si>
  <si>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</si>
  <si>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</si>
  <si>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</si>
  <si>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</si>
  <si>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</si>
  <si>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</si>
  <si>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</si>
  <si>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</si>
  <si>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</si>
  <si>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</si>
  <si>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</si>
  <si>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</si>
  <si>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</si>
  <si>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</si>
  <si>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</si>
  <si>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</si>
  <si>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</si>
  <si>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</si>
  <si>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</si>
  <si>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</si>
  <si>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</si>
  <si>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</si>
  <si>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</si>
  <si>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</si>
  <si>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</si>
  <si>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</si>
  <si>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</si>
  <si>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</si>
  <si>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</si>
  <si>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</si>
  <si>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</si>
  <si>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</si>
  <si>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</si>
  <si>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</si>
  <si>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</si>
  <si>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</si>
  <si>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</si>
  <si>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</si>
  <si>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</si>
  <si>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</si>
  <si>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</si>
  <si>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</si>
  <si>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</si>
  <si>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</si>
  <si>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</si>
  <si>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</si>
  <si>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</si>
  <si>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</si>
  <si>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</si>
  <si>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</si>
  <si>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</si>
  <si>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</si>
  <si>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</si>
  <si>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</si>
  <si>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</si>
  <si>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</si>
  <si>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</si>
  <si>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</si>
  <si>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</si>
  <si>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</si>
  <si>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</si>
  <si>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</si>
  <si>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</si>
  <si>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</si>
  <si>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</si>
  <si>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</si>
  <si>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</si>
  <si>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</si>
  <si>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</si>
  <si>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</si>
  <si>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</si>
  <si>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</si>
  <si>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</si>
  <si>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</si>
  <si>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</si>
  <si>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</si>
  <si>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</si>
  <si>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</si>
  <si>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</si>
  <si>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</si>
  <si>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</si>
  <si>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</si>
  <si>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</si>
  <si>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</si>
  <si>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</si>
  <si>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</si>
  <si>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</si>
  <si>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</si>
  <si>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</si>
  <si>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</si>
  <si>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</si>
  <si>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</si>
  <si>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</si>
  <si>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</si>
  <si>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</si>
  <si>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</si>
  <si>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</si>
  <si>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</si>
  <si>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</si>
  <si>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</si>
  <si>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</si>
  <si>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</si>
  <si>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</si>
  <si>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</si>
  <si>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</si>
  <si>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</si>
  <si>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</si>
  <si>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</si>
  <si>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</si>
  <si>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</si>
  <si>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</si>
  <si>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</si>
  <si>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</si>
  <si>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</si>
  <si>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</si>
  <si>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</si>
  <si>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</si>
  <si>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</si>
  <si>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</si>
  <si>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</si>
  <si>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</si>
  <si>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</si>
  <si>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</si>
  <si>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</si>
  <si>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</si>
  <si>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</si>
  <si>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</si>
  <si>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</si>
  <si>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</si>
  <si>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</si>
  <si>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</si>
  <si>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</si>
  <si>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</si>
  <si>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</si>
  <si>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</si>
  <si>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</si>
  <si>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</si>
  <si>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</si>
  <si>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</si>
  <si>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</si>
  <si>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</si>
  <si>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</si>
  <si>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</si>
  <si>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</si>
  <si>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</si>
  <si>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</si>
  <si>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</si>
  <si>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</si>
  <si>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</si>
  <si>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</si>
  <si>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</si>
  <si>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</si>
  <si>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</si>
  <si>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</si>
  <si>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</si>
  <si>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</si>
  <si>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</si>
  <si>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</si>
  <si>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</si>
  <si>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</si>
  <si>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</si>
  <si>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</si>
  <si>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</si>
  <si>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</si>
  <si>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</si>
  <si>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</si>
  <si>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</si>
  <si>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</si>
  <si>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</si>
  <si>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</si>
  <si>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</si>
  <si>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</si>
  <si>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</si>
  <si>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</si>
  <si>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</si>
  <si>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</si>
  <si>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</si>
  <si>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</si>
  <si>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</si>
  <si>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</si>
  <si>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</si>
  <si>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</si>
  <si>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</si>
  <si>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</si>
  <si>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</si>
  <si>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</si>
  <si>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</si>
  <si>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</si>
  <si>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</si>
  <si>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</si>
  <si>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</si>
  <si>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</si>
  <si>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</si>
  <si>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</si>
  <si>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</si>
  <si>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</si>
  <si>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</si>
  <si>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</si>
  <si>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</si>
  <si>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</si>
  <si>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</si>
  <si>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</si>
  <si>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</si>
  <si>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</si>
  <si>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</si>
  <si>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</si>
  <si>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</si>
  <si>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</si>
  <si>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</si>
  <si>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</si>
  <si>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</si>
  <si>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</si>
  <si>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</si>
  <si>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</si>
  <si>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</si>
  <si>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</si>
  <si>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</si>
  <si>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</si>
  <si>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</si>
  <si>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</si>
  <si>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</si>
  <si>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</si>
  <si>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</si>
  <si>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</si>
  <si>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</si>
  <si>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</si>
  <si>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</si>
  <si>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</si>
  <si>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</si>
  <si>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</si>
  <si>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</si>
  <si>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</si>
  <si>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</si>
  <si>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</si>
  <si>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</si>
  <si>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</si>
  <si>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</si>
  <si>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</si>
  <si>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</si>
  <si>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</si>
  <si>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</si>
  <si>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</si>
  <si>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</si>
  <si>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</si>
  <si>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</si>
  <si>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</si>
  <si>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</si>
  <si>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</si>
  <si>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</si>
  <si>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</si>
  <si>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</si>
  <si>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</si>
  <si>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</si>
  <si>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</si>
  <si>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</si>
  <si>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</si>
  <si>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</si>
  <si>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</si>
  <si>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</si>
  <si>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</si>
  <si>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</si>
  <si>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</si>
  <si>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</si>
  <si>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</si>
  <si>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</si>
  <si>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</si>
  <si>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</si>
  <si>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</si>
  <si>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</si>
  <si>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</si>
  <si>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</si>
  <si>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</si>
  <si>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</si>
  <si>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</si>
  <si>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</si>
  <si>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</si>
  <si>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</si>
  <si>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</si>
  <si>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</si>
  <si>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</si>
  <si>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</si>
  <si>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</si>
  <si>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</si>
  <si>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</si>
  <si>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</si>
  <si>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</si>
  <si>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</si>
  <si>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</si>
  <si>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</si>
  <si>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</si>
  <si>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</si>
  <si>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</si>
  <si>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</si>
  <si>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</si>
  <si>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</si>
  <si>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</si>
  <si>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</si>
  <si>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</si>
  <si>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</si>
  <si>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</si>
  <si>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</si>
  <si>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</si>
  <si>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</si>
  <si>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</si>
  <si>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</si>
  <si>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</si>
  <si>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</si>
  <si>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</si>
  <si>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</si>
  <si>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</si>
  <si>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</si>
  <si>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</si>
  <si>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</si>
  <si>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</si>
  <si>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</si>
  <si>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</si>
  <si>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</si>
  <si>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</si>
  <si>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</si>
  <si>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</si>
  <si>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</si>
  <si>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</si>
  <si>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</si>
  <si>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</si>
  <si>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</si>
  <si>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</si>
  <si>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</si>
  <si>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</si>
  <si>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</si>
  <si>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</si>
  <si>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</si>
  <si>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</si>
  <si>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</si>
  <si>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</si>
  <si>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</si>
  <si>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</si>
  <si>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</si>
  <si>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</si>
  <si>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</si>
  <si>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</si>
  <si>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</si>
  <si>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</si>
  <si>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</si>
  <si>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</si>
  <si>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</si>
  <si>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</si>
  <si>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</si>
  <si>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</si>
  <si>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</si>
  <si>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</si>
  <si>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</si>
  <si>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</si>
  <si>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</si>
  <si>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</si>
  <si>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</si>
  <si>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</si>
  <si>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</si>
  <si>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</si>
  <si>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</si>
  <si>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</si>
  <si>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</si>
  <si>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</si>
  <si>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</si>
  <si>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</si>
  <si>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</si>
  <si>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</si>
  <si>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</si>
  <si>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</si>
  <si>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</si>
  <si>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</si>
  <si>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</si>
  <si>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</si>
  <si>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</si>
  <si>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</si>
  <si>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</si>
  <si>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</si>
  <si>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</si>
  <si>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</si>
  <si>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</si>
  <si>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</si>
  <si>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</si>
  <si>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</si>
  <si>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</si>
  <si>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</si>
  <si>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</si>
  <si>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</si>
  <si>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</si>
  <si>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</si>
  <si>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</si>
  <si>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</si>
  <si>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</si>
  <si>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</si>
  <si>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</si>
  <si>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</si>
  <si>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</si>
  <si>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</si>
  <si>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</si>
  <si>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</si>
  <si>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</si>
  <si>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</si>
  <si>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</si>
  <si>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</si>
  <si>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</si>
  <si>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</si>
  <si>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</si>
  <si>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</si>
  <si>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</si>
  <si>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</si>
  <si>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</si>
  <si>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</si>
  <si>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</si>
  <si>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</si>
  <si>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</si>
  <si>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</si>
  <si>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</si>
  <si>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</si>
  <si>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</si>
  <si>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</si>
  <si>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</si>
  <si>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</si>
  <si>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</si>
  <si>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</si>
  <si>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</si>
  <si>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</si>
  <si>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</si>
  <si>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</si>
  <si>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</si>
  <si>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</si>
  <si>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</si>
  <si>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</si>
  <si>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</si>
  <si>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</si>
  <si>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</si>
  <si>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</si>
  <si>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</si>
  <si>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</si>
  <si>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</si>
  <si>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</si>
  <si>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</si>
  <si>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</si>
  <si>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</si>
  <si>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</si>
  <si>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</si>
  <si>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</si>
  <si>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</si>
  <si>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</si>
  <si>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</si>
  <si>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</si>
  <si>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</si>
  <si>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</si>
  <si>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</si>
  <si>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</si>
  <si>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</si>
  <si>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</si>
  <si>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</si>
  <si>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</si>
  <si>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</si>
  <si>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</si>
  <si>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</si>
  <si>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</si>
  <si>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</si>
  <si>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</si>
  <si>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</si>
  <si>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</si>
  <si>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</si>
  <si>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</si>
  <si>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</si>
  <si>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</si>
  <si>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</si>
  <si>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</si>
  <si>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</si>
  <si>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</si>
  <si>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</si>
  <si>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</si>
  <si>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</si>
  <si>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</si>
  <si>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</si>
  <si>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</si>
  <si>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</si>
  <si>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</si>
  <si>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</si>
  <si>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</si>
  <si>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</si>
  <si>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</si>
  <si>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</si>
  <si>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</si>
  <si>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</si>
  <si>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</si>
  <si>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</si>
  <si>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</si>
  <si>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</si>
  <si>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</si>
  <si>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</si>
  <si>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</si>
  <si>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</si>
  <si>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</si>
  <si>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</si>
  <si>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</si>
  <si>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</si>
  <si>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</si>
  <si>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</si>
  <si>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</si>
  <si>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</si>
  <si>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</si>
  <si>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</si>
  <si>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</si>
  <si>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</si>
  <si>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</si>
  <si>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</si>
  <si>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</si>
  <si>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</si>
  <si>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</si>
  <si>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</si>
  <si>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</si>
  <si>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</si>
  <si>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</si>
  <si>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</si>
  <si>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</si>
  <si>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</si>
  <si>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</si>
  <si>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</si>
  <si>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</si>
  <si>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</si>
  <si>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</si>
  <si>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</si>
  <si>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</si>
  <si>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</si>
  <si>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</si>
  <si>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</si>
  <si>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</si>
  <si>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</si>
  <si>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</si>
  <si>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</si>
  <si>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</si>
  <si>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</si>
  <si>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</si>
  <si>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</si>
  <si>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</si>
  <si>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</si>
  <si>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</si>
  <si>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</si>
  <si>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</si>
  <si>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</si>
  <si>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</si>
  <si>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</si>
  <si>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</si>
  <si>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</si>
  <si>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</si>
  <si>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</si>
  <si>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</si>
  <si>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</si>
  <si>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</si>
  <si>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</si>
  <si>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</si>
  <si>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</si>
  <si>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</si>
  <si>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</si>
  <si>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</si>
  <si>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</si>
  <si>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</si>
  <si>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</si>
  <si>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</si>
  <si>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</si>
  <si>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</si>
  <si>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</si>
  <si>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</si>
  <si>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</si>
  <si>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</si>
  <si>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</si>
  <si>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</si>
  <si>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</si>
  <si>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</si>
  <si>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</si>
  <si>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</si>
  <si>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</si>
  <si>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</si>
  <si>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</si>
  <si>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</si>
  <si>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</si>
  <si>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</si>
  <si>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</si>
  <si>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</si>
  <si>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</si>
  <si>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</si>
  <si>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</si>
  <si>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</si>
  <si>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</si>
  <si>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</si>
  <si>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</si>
  <si>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</si>
  <si>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</si>
  <si>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</si>
  <si>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</si>
  <si>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</si>
  <si>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</si>
  <si>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</si>
  <si>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</si>
  <si>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cheerleading - bežné transfery</t>
  </si>
  <si>
    <t>BV2506014</t>
  </si>
  <si>
    <t>202501291</t>
  </si>
  <si>
    <t>treningove oblecenie sustredenie talentovana mladez clenovia SCT 2026 (Slovak Cheer Team - reprezentácia SR)</t>
  </si>
  <si>
    <t>36645028</t>
  </si>
  <si>
    <t>PROMO Design, s.r.o.,V.P.Totha17, 960 01 Zvolen</t>
  </si>
  <si>
    <t>BV2506015</t>
  </si>
  <si>
    <t>022025031</t>
  </si>
  <si>
    <t>SCU príspevok podla AS, príspevok AŠ za rok 2024</t>
  </si>
  <si>
    <t>F.R.E.S.H. Zvolen, A.Hlinku 2330/2, 960 01 Zvolen</t>
  </si>
  <si>
    <t>BV2506016</t>
  </si>
  <si>
    <t>3250001176</t>
  </si>
  <si>
    <t>prenajom priestorov sportova priprava talentovana mládez 13-14092025</t>
  </si>
  <si>
    <t>00397440</t>
  </si>
  <si>
    <t>Technická Univerzita Zvolen, T.G. Masaryka 2117/24, 960 01 Zvolen</t>
  </si>
  <si>
    <t>37059831</t>
  </si>
  <si>
    <t>Vladimír Michalek, Jesenského 1486, 960 01 Zvolen</t>
  </si>
  <si>
    <t>BV2506018</t>
  </si>
  <si>
    <t>250002</t>
  </si>
  <si>
    <t>SCU prispevok AS, FF PD AŠ 2025</t>
  </si>
  <si>
    <t>42013828</t>
  </si>
  <si>
    <t>Športový klub Fitness Free Prievidza, Stará cena 138/9, 972 17 Kanianka</t>
  </si>
  <si>
    <t>BV2506019</t>
  </si>
  <si>
    <t>250683</t>
  </si>
  <si>
    <t>Ubytovanie treneri 102025 treningovy zraz talentovana mladez</t>
  </si>
  <si>
    <t>50180185</t>
  </si>
  <si>
    <t>Franko-Real, s.r.o., Ľ. Štúra 11, 960 01 Zvolen</t>
  </si>
  <si>
    <t>BV2506020</t>
  </si>
  <si>
    <t>PZ012025</t>
  </si>
  <si>
    <t>Administratívne práce generálneho sekretára 10/2025</t>
  </si>
  <si>
    <t>osoba 1</t>
  </si>
  <si>
    <t>ALMADA, spol. s r.o., Hať Podharajch 705, 960 01 Zvolen</t>
  </si>
  <si>
    <t>BV2506022</t>
  </si>
  <si>
    <t>2500109</t>
  </si>
  <si>
    <t>Stravovanie športovci - tréningový zraz talentovaná mládež</t>
  </si>
  <si>
    <t>BV2506023</t>
  </si>
  <si>
    <t>3250001342</t>
  </si>
  <si>
    <t>Prenájom priestorov - treningovy kemp talentovana mladež 102025</t>
  </si>
  <si>
    <t>BV2506024</t>
  </si>
  <si>
    <t>250782</t>
  </si>
  <si>
    <t>SCU stunt workshop - talentovaná mládež - ubytovanie tréneri</t>
  </si>
  <si>
    <t>BV2506025</t>
  </si>
  <si>
    <t>Administratívne práce generálneho sekretára 11/2025</t>
  </si>
  <si>
    <t>BV2506026</t>
  </si>
  <si>
    <t>3250001523</t>
  </si>
  <si>
    <t>PRENAJOM treningovy kemp talentovana mladež 112025, Vikendovy stunt workshop 11/2025 talentovani športovci</t>
  </si>
  <si>
    <t>BV2506027</t>
  </si>
  <si>
    <t>25FV2377</t>
  </si>
  <si>
    <t>sportove trofeje - súťaž WCO 2025</t>
  </si>
  <si>
    <t>MAAD.sk, s.r.o, Dunajská 10, 040 01 Košice 1</t>
  </si>
  <si>
    <t>BV2506028</t>
  </si>
  <si>
    <t>251000204</t>
  </si>
  <si>
    <t>ubytovanie treneri - treningovy camp talentovana mladez 1225</t>
  </si>
  <si>
    <t>BV2506029</t>
  </si>
  <si>
    <t>3250001546</t>
  </si>
  <si>
    <t>PRENAJOM treningovy kemp talentovana mladez 122025</t>
  </si>
  <si>
    <t>BV2506030</t>
  </si>
  <si>
    <t>1940001518</t>
  </si>
  <si>
    <t>Slovak Cheer Team 2026 (reprezentácia SR)  letenky Orlando zaloha 1</t>
  </si>
  <si>
    <t>35787201</t>
  </si>
  <si>
    <t>SATUR Travel, a.s., Miletičova 1, 824 72 Bratislava</t>
  </si>
  <si>
    <t>BV2506031</t>
  </si>
  <si>
    <t>20250001</t>
  </si>
  <si>
    <r>
      <t>prispevok AŠ 2025 M</t>
    </r>
    <r>
      <rPr>
        <sz val="8"/>
        <color theme="1"/>
        <rFont val="Calibri"/>
        <family val="2"/>
        <charset val="238"/>
      </rPr>
      <t>&amp;</t>
    </r>
    <r>
      <rPr>
        <sz val="8"/>
        <color theme="1"/>
        <rFont val="Arial"/>
      </rPr>
      <t>M Cheerleaders Bratislava</t>
    </r>
  </si>
  <si>
    <t>M&amp;M Cheerleaders, Ľudovíta Fullu 3098/3, 841 05 Bratislava</t>
  </si>
  <si>
    <t>BV2506032</t>
  </si>
  <si>
    <t>2500126</t>
  </si>
  <si>
    <t>trening kemp talentovani sportovci 1225</t>
  </si>
  <si>
    <t>BV2506013</t>
  </si>
  <si>
    <t>3250001062</t>
  </si>
  <si>
    <t>prenajom priestorov sustredenie talentovana mládez 082025 clenovia SCT 2026 (Slovak Cheer Team - reprezentácia SR)</t>
  </si>
  <si>
    <t>BV2506033</t>
  </si>
  <si>
    <t>prenájom - tréningový kemp (športovci z klubu FitandFun B.Bystrica, M&amp;M Cheerleaders Bratislava,Fitness Free Prievidza, F.R.E.S.H. Zvolen)</t>
  </si>
  <si>
    <t>3260000269</t>
  </si>
  <si>
    <t>54887241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</si>
</sst>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theme="1"/>
      <name val="Arial"/>
    </font>
    <font>
      <sz val="8"/>
      <color theme="1"/>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54" val="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7" zoomScaleNormal="100" workbookViewId="0">
      <selection activeCell="A135" sqref="A135"/>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47"/>
      <c r="D1" s="34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48"/>
      <c r="D21" s="348"/>
    </row>
    <row r="22" spans="1:4" x14ac:dyDescent="0.25">
      <c r="C22" s="349"/>
      <c r="D22" s="348"/>
    </row>
    <row r="23" spans="1:4" ht="66" x14ac:dyDescent="0.25">
      <c r="A23" s="23" t="s">
        <v>1361</v>
      </c>
      <c r="C23" s="255"/>
      <c r="D23" s="256"/>
    </row>
    <row r="24" spans="1:4" ht="12.75" customHeight="1" x14ac:dyDescent="0.25">
      <c r="C24" s="345"/>
      <c r="D24" s="34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0"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SLOVENSKÁ CHEERLEADING ÚNIA, Novozámocká 3212/22, Zvolen, 960 01</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3" t="s">
        <v>1293</v>
      </c>
      <c r="C14" s="374"/>
      <c r="F14" s="313"/>
      <c r="N14" s="137" t="str">
        <f t="shared" si="0"/>
        <v xml:space="preserve">n - </v>
      </c>
      <c r="O14" s="137" t="s">
        <v>364</v>
      </c>
    </row>
    <row r="15" spans="1:16" ht="34.35"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 customHeight="1" x14ac:dyDescent="0.25">
      <c r="A17" s="139" t="s">
        <v>1281</v>
      </c>
      <c r="B17" s="142">
        <f>F9</f>
        <v>0</v>
      </c>
      <c r="C17" s="137"/>
      <c r="F17" s="376"/>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54041368</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77" t="s">
        <v>1299</v>
      </c>
      <c r="B2" s="377"/>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0" t="s">
        <v>57</v>
      </c>
      <c r="B1" s="350"/>
      <c r="C1" s="350"/>
      <c r="D1" s="350"/>
      <c r="E1" s="350"/>
      <c r="F1" s="350"/>
      <c r="G1" s="350"/>
      <c r="H1" s="350"/>
      <c r="I1" s="52"/>
      <c r="J1" s="37"/>
    </row>
    <row r="2" spans="1:11" ht="15.6" x14ac:dyDescent="0.3">
      <c r="A2" s="356" t="s">
        <v>58</v>
      </c>
      <c r="B2" s="356"/>
      <c r="C2" s="356"/>
      <c r="D2" s="356"/>
      <c r="E2" s="356"/>
      <c r="F2" s="356"/>
      <c r="G2" s="356"/>
      <c r="H2" s="354" t="str">
        <f>+Doklady!I100</f>
        <v>V3</v>
      </c>
      <c r="I2" s="354"/>
    </row>
    <row r="3" spans="1:11" ht="13.8" x14ac:dyDescent="0.25">
      <c r="A3" s="40"/>
      <c r="B3" s="40"/>
      <c r="C3" s="40"/>
      <c r="D3" s="40"/>
      <c r="E3" s="40"/>
      <c r="F3" s="40"/>
      <c r="G3" s="40"/>
      <c r="H3" s="355">
        <f>+Doklady!I101</f>
        <v>45887</v>
      </c>
      <c r="I3" s="355"/>
    </row>
    <row r="4" spans="1:11" ht="15.75" customHeight="1" x14ac:dyDescent="0.25">
      <c r="A4" s="41" t="s">
        <v>59</v>
      </c>
      <c r="B4" s="351" t="s">
        <v>60</v>
      </c>
      <c r="C4" s="352"/>
      <c r="D4" s="352"/>
      <c r="E4" s="35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2"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59" t="s">
        <v>311</v>
      </c>
      <c r="B1" s="360"/>
      <c r="C1" s="174">
        <v>45688</v>
      </c>
      <c r="D1" s="26"/>
      <c r="G1" s="252">
        <v>45688</v>
      </c>
    </row>
    <row r="2" spans="1:7" ht="13.8" x14ac:dyDescent="0.25">
      <c r="A2" s="28"/>
      <c r="B2" s="28"/>
      <c r="G2" s="252">
        <v>45716</v>
      </c>
    </row>
    <row r="3" spans="1:7" ht="13.8" x14ac:dyDescent="0.25">
      <c r="A3" s="30" t="s">
        <v>312</v>
      </c>
      <c r="B3" s="357" t="str">
        <f>INDEX(Adr!B:B,Doklady!B102+1)</f>
        <v>SLOVENSKÁ CHEERLEADING ÚNIA</v>
      </c>
      <c r="C3" s="357"/>
      <c r="D3" s="357"/>
      <c r="G3" s="252">
        <v>45747</v>
      </c>
    </row>
    <row r="4" spans="1:7" ht="13.8" x14ac:dyDescent="0.25">
      <c r="A4" s="30" t="s">
        <v>313</v>
      </c>
      <c r="B4" s="29" t="str">
        <f>RIGHT("0000"&amp;INDEX(Adr!A:A,Doklady!B102+1),8)</f>
        <v>54041368</v>
      </c>
      <c r="G4" s="252">
        <v>45777</v>
      </c>
    </row>
    <row r="5" spans="1:7" ht="13.8" x14ac:dyDescent="0.25">
      <c r="A5" s="30" t="s">
        <v>314</v>
      </c>
      <c r="B5" s="29" t="str">
        <f>INDEX(Adr!D:D,Doklady!B102+1)&amp;", "&amp;INDEX(Adr!E:E,Doklady!B102+1)</f>
        <v>Novozámocká 3212/22, Zvolen</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19239</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19239</v>
      </c>
      <c r="G15" s="252"/>
    </row>
    <row r="16" spans="1:7" ht="13.8" x14ac:dyDescent="0.25">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22" t="s">
        <v>329</v>
      </c>
      <c r="B1" s="322"/>
      <c r="C1" s="322"/>
      <c r="D1" s="322"/>
      <c r="E1" s="322"/>
      <c r="F1" s="322"/>
      <c r="G1" s="322"/>
      <c r="H1" s="322"/>
      <c r="I1" s="322"/>
    </row>
    <row r="2" spans="1:26" ht="7.5" customHeight="1" x14ac:dyDescent="0.2">
      <c r="C2" s="8"/>
      <c r="D2" s="8"/>
      <c r="E2" s="8"/>
      <c r="F2" s="8"/>
      <c r="G2" s="8"/>
      <c r="H2" s="8"/>
      <c r="I2" s="8"/>
    </row>
    <row r="3" spans="1:26" s="9" customFormat="1" ht="26.1" customHeight="1" x14ac:dyDescent="0.25">
      <c r="B3" s="160" t="s">
        <v>59</v>
      </c>
      <c r="C3" s="323" t="str">
        <f>INDEX(Adr!B2:B151,Doklady!B102)</f>
        <v>SLOVENSKÁ CHEERLEADING ÚNIA</v>
      </c>
      <c r="D3" s="323"/>
      <c r="E3" s="323"/>
      <c r="F3" s="323"/>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54041368</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Novozámocká 3212/22, Zvolen, 960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24" t="s">
        <v>334</v>
      </c>
      <c r="F9" s="325"/>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15">
        <f>SUMIF(K:K,A10,I:I)</f>
        <v>0</v>
      </c>
      <c r="F10" s="316"/>
      <c r="L10" s="120" t="s">
        <v>335</v>
      </c>
      <c r="M10" s="118"/>
      <c r="N10" s="118"/>
      <c r="O10" s="118"/>
      <c r="P10" s="118"/>
      <c r="Q10" s="118"/>
      <c r="R10" s="118"/>
      <c r="S10" s="118"/>
    </row>
    <row r="11" spans="1:26" ht="17.399999999999999" x14ac:dyDescent="0.3">
      <c r="A11" s="69" t="s">
        <v>319</v>
      </c>
      <c r="B11" s="70" t="s">
        <v>320</v>
      </c>
      <c r="C11" s="126">
        <f>SUMIF(FP!J:J,Doklady!$B$1&amp;A11,FP!D:D)</f>
        <v>19239</v>
      </c>
      <c r="D11" s="126">
        <f>+C11-E11</f>
        <v>19239</v>
      </c>
      <c r="E11" s="326">
        <f>+I39-I42+I44-I47</f>
        <v>0</v>
      </c>
      <c r="F11" s="327"/>
      <c r="J11" s="176"/>
      <c r="L11" s="161" t="str">
        <f>L41</f>
        <v>a - cheerleading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15">
        <f>SUMIF(K:K,A12,I:I)</f>
        <v>0</v>
      </c>
      <c r="F12" s="316"/>
      <c r="J12" s="177"/>
      <c r="L12" s="161" t="str">
        <f>L42</f>
        <v>a - cheerleading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15">
        <f>SUMIF(K:K,A13,I:I)</f>
        <v>0</v>
      </c>
      <c r="F13" s="31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28">
        <f>SUMIF(K:K,A14,I:I)</f>
        <v>0</v>
      </c>
      <c r="F14" s="329"/>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35" t="s">
        <v>337</v>
      </c>
      <c r="C16" s="336"/>
      <c r="D16" s="336"/>
      <c r="E16" s="336"/>
      <c r="F16" s="336"/>
      <c r="G16" s="336"/>
      <c r="H16" s="33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30" t="s">
        <v>340</v>
      </c>
      <c r="C17" s="330"/>
      <c r="D17" s="330"/>
      <c r="E17" s="330"/>
      <c r="F17" s="330"/>
      <c r="G17" s="330"/>
      <c r="H17" s="330"/>
      <c r="I17" s="73">
        <f>SUMIF(FP!I:I,Doklady!$B$1&amp;A17,FP!D:D)</f>
        <v>19239</v>
      </c>
      <c r="T17" s="86"/>
    </row>
    <row r="18" spans="1:20" x14ac:dyDescent="0.2">
      <c r="A18" s="135" t="s">
        <v>341</v>
      </c>
      <c r="B18" s="330" t="s">
        <v>342</v>
      </c>
      <c r="C18" s="330"/>
      <c r="D18" s="330"/>
      <c r="E18" s="330"/>
      <c r="F18" s="330"/>
      <c r="G18" s="330"/>
      <c r="H18" s="330"/>
      <c r="I18" s="73">
        <f>SUMIF(FP!I:I,Doklady!$B$1&amp;A18,FP!D:D)</f>
        <v>0</v>
      </c>
    </row>
    <row r="19" spans="1:20" x14ac:dyDescent="0.2">
      <c r="A19" s="115" t="s">
        <v>343</v>
      </c>
      <c r="B19" s="330" t="s">
        <v>344</v>
      </c>
      <c r="C19" s="330"/>
      <c r="D19" s="330"/>
      <c r="E19" s="330"/>
      <c r="F19" s="330"/>
      <c r="G19" s="330"/>
      <c r="H19" s="330"/>
      <c r="I19" s="73">
        <f>SUMIF(FP!I:I,Doklady!$B$1&amp;A19,FP!D:D)</f>
        <v>0</v>
      </c>
    </row>
    <row r="20" spans="1:20" x14ac:dyDescent="0.2">
      <c r="A20" s="135" t="s">
        <v>345</v>
      </c>
      <c r="B20" s="319" t="s">
        <v>346</v>
      </c>
      <c r="C20" s="320"/>
      <c r="D20" s="320"/>
      <c r="E20" s="320"/>
      <c r="F20" s="320"/>
      <c r="G20" s="320"/>
      <c r="H20" s="321"/>
      <c r="I20" s="73">
        <f>SUMIF(FP!I:I,Doklady!$B$1&amp;A20,FP!D:D)</f>
        <v>0</v>
      </c>
      <c r="T20" s="86"/>
    </row>
    <row r="21" spans="1:20" x14ac:dyDescent="0.2">
      <c r="A21" s="115" t="s">
        <v>347</v>
      </c>
      <c r="B21" s="319" t="s">
        <v>348</v>
      </c>
      <c r="C21" s="320"/>
      <c r="D21" s="320"/>
      <c r="E21" s="320"/>
      <c r="F21" s="320"/>
      <c r="G21" s="320"/>
      <c r="H21" s="321"/>
      <c r="I21" s="73">
        <f>SUMIF(FP!I:I,Doklady!$B$1&amp;A21,FP!D:D)</f>
        <v>0</v>
      </c>
      <c r="T21" s="86"/>
    </row>
    <row r="22" spans="1:20" x14ac:dyDescent="0.2">
      <c r="A22" s="135" t="s">
        <v>349</v>
      </c>
      <c r="B22" s="338" t="s">
        <v>350</v>
      </c>
      <c r="C22" s="339"/>
      <c r="D22" s="339"/>
      <c r="E22" s="339"/>
      <c r="F22" s="339"/>
      <c r="G22" s="339"/>
      <c r="H22" s="340"/>
      <c r="I22" s="73">
        <f>SUMIF(FP!I:I,Doklady!$B$1&amp;A22,FP!D:D)</f>
        <v>0</v>
      </c>
      <c r="T22" s="86"/>
    </row>
    <row r="23" spans="1:20" x14ac:dyDescent="0.2">
      <c r="A23" s="115" t="s">
        <v>351</v>
      </c>
      <c r="B23" s="319" t="s">
        <v>352</v>
      </c>
      <c r="C23" s="320"/>
      <c r="D23" s="320"/>
      <c r="E23" s="320"/>
      <c r="F23" s="320"/>
      <c r="G23" s="320"/>
      <c r="H23" s="321"/>
      <c r="I23" s="73">
        <f>SUMIF(FP!I:I,Doklady!$B$1&amp;A23,FP!D:D)</f>
        <v>0</v>
      </c>
      <c r="T23" s="86"/>
    </row>
    <row r="24" spans="1:20" x14ac:dyDescent="0.2">
      <c r="A24" s="135" t="s">
        <v>353</v>
      </c>
      <c r="B24" s="319" t="s">
        <v>354</v>
      </c>
      <c r="C24" s="320"/>
      <c r="D24" s="320"/>
      <c r="E24" s="320"/>
      <c r="F24" s="320"/>
      <c r="G24" s="320"/>
      <c r="H24" s="321"/>
      <c r="I24" s="73">
        <f>SUMIF(FP!I:I,Doklady!$B$1&amp;A24,FP!D:D)</f>
        <v>0</v>
      </c>
      <c r="T24" s="86"/>
    </row>
    <row r="25" spans="1:20" x14ac:dyDescent="0.2">
      <c r="A25" s="115" t="s">
        <v>355</v>
      </c>
      <c r="B25" s="331" t="s">
        <v>2282</v>
      </c>
      <c r="C25" s="332"/>
      <c r="D25" s="332"/>
      <c r="E25" s="332"/>
      <c r="F25" s="332"/>
      <c r="G25" s="332"/>
      <c r="H25" s="333"/>
      <c r="I25" s="73">
        <f>SUMIF(FP!I:I,Doklady!$B$1&amp;A25,FP!D:D)</f>
        <v>0</v>
      </c>
      <c r="T25" s="86"/>
    </row>
    <row r="26" spans="1:20" x14ac:dyDescent="0.2">
      <c r="A26" s="135" t="s">
        <v>356</v>
      </c>
      <c r="B26" s="319" t="s">
        <v>357</v>
      </c>
      <c r="C26" s="320"/>
      <c r="D26" s="320"/>
      <c r="E26" s="320"/>
      <c r="F26" s="320"/>
      <c r="G26" s="320"/>
      <c r="H26" s="321"/>
      <c r="I26" s="73">
        <f>SUMIF(FP!I:I,Doklady!$B$1&amp;A26,FP!D:D)</f>
        <v>0</v>
      </c>
      <c r="T26" s="86"/>
    </row>
    <row r="27" spans="1:20" x14ac:dyDescent="0.2">
      <c r="A27" s="115" t="s">
        <v>358</v>
      </c>
      <c r="B27" s="319" t="s">
        <v>359</v>
      </c>
      <c r="C27" s="320"/>
      <c r="D27" s="320"/>
      <c r="E27" s="320"/>
      <c r="F27" s="320"/>
      <c r="G27" s="320"/>
      <c r="H27" s="321"/>
      <c r="I27" s="73">
        <f>SUMIF(FP!I:I,Doklady!$B$1&amp;A27,FP!D:D)</f>
        <v>0</v>
      </c>
      <c r="T27" s="86"/>
    </row>
    <row r="28" spans="1:20" x14ac:dyDescent="0.2">
      <c r="A28" s="135" t="s">
        <v>360</v>
      </c>
      <c r="B28" s="319" t="s">
        <v>361</v>
      </c>
      <c r="C28" s="320"/>
      <c r="D28" s="320"/>
      <c r="E28" s="320"/>
      <c r="F28" s="320"/>
      <c r="G28" s="320"/>
      <c r="H28" s="321"/>
      <c r="I28" s="73">
        <f>SUMIF(FP!I:I,Doklady!$B$1&amp;A28,FP!D:D)</f>
        <v>0</v>
      </c>
      <c r="T28" s="86"/>
    </row>
    <row r="29" spans="1:20" x14ac:dyDescent="0.2">
      <c r="A29" s="115" t="s">
        <v>362</v>
      </c>
      <c r="B29" s="319" t="s">
        <v>363</v>
      </c>
      <c r="C29" s="320"/>
      <c r="D29" s="320"/>
      <c r="E29" s="320"/>
      <c r="F29" s="320"/>
      <c r="G29" s="320"/>
      <c r="H29" s="321"/>
      <c r="I29" s="73">
        <f>SUMIF(FP!I:I,Doklady!$B$1&amp;A29,FP!D:D)</f>
        <v>0</v>
      </c>
      <c r="T29" s="86"/>
    </row>
    <row r="30" spans="1:20" hidden="1" x14ac:dyDescent="0.2">
      <c r="A30" s="135" t="s">
        <v>364</v>
      </c>
      <c r="B30" s="319"/>
      <c r="C30" s="320"/>
      <c r="D30" s="320"/>
      <c r="E30" s="320"/>
      <c r="F30" s="320"/>
      <c r="G30" s="320"/>
      <c r="H30" s="321"/>
      <c r="I30" s="73">
        <f>SUMIF(FP!I:I,Doklady!$B$1&amp;A30,FP!D:D)</f>
        <v>0</v>
      </c>
      <c r="T30" s="86"/>
    </row>
    <row r="31" spans="1:20" hidden="1" x14ac:dyDescent="0.2">
      <c r="A31" s="115" t="s">
        <v>365</v>
      </c>
      <c r="B31" s="319"/>
      <c r="C31" s="320"/>
      <c r="D31" s="320"/>
      <c r="E31" s="320"/>
      <c r="F31" s="320"/>
      <c r="G31" s="320"/>
      <c r="H31" s="321"/>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cheerleading</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3847.8</v>
      </c>
      <c r="D39" s="78">
        <f>I39*0.2</f>
        <v>3847.8</v>
      </c>
      <c r="E39" s="78">
        <f>I39*0.25</f>
        <v>4809.75</v>
      </c>
      <c r="F39" s="78">
        <f>+I39*0.15</f>
        <v>2885.85</v>
      </c>
      <c r="G39" s="78">
        <f>+MAX(I39-C39-D39-E39-F39-H39,0)</f>
        <v>3847.8000000000015</v>
      </c>
      <c r="H39" s="78">
        <f>+IFERROR(VLOOKUP(K40&amp;" - kapitálové transfery",B$53:C$90,2,0),0)</f>
        <v>0</v>
      </c>
      <c r="I39" s="73">
        <f>SUMIF(FP!K:K,K40,FP!D:D)</f>
        <v>19239</v>
      </c>
      <c r="L39" s="84">
        <f>COUNTIF(FP!N:N,Doklady!B1&amp;"aK")</f>
        <v>0</v>
      </c>
      <c r="T39" s="86"/>
    </row>
    <row r="40" spans="1:21" x14ac:dyDescent="0.2">
      <c r="A40" s="115" t="s">
        <v>339</v>
      </c>
      <c r="B40" s="116" t="s">
        <v>373</v>
      </c>
      <c r="C40" s="78">
        <f>DSUM(Doklady!A103:J10000,"GGG",Spolu!L40:M42)</f>
        <v>3847.8</v>
      </c>
      <c r="D40" s="78">
        <f>DSUM(Doklady!A103:J10000,"GGG",Spolu!N40:O42)</f>
        <v>4397.5</v>
      </c>
      <c r="E40" s="78">
        <f>DSUM(Doklady!A103:J10000,"GGG",Spolu!P40:Q42)</f>
        <v>8765</v>
      </c>
      <c r="F40" s="78">
        <f>DSUM(Doklady!A103:J10000,"GGG",Spolu!R40:S42)</f>
        <v>2000</v>
      </c>
      <c r="G40" s="78">
        <f>DSUM(Doklady!A103:J10000,"GGG",Spolu!T40:U42)-H40</f>
        <v>228.7</v>
      </c>
      <c r="H40" s="78">
        <f>+IFERROR(VLOOKUP(K40&amp;" - kapitálové transfery",B$53:D$90,3,0),0)</f>
        <v>0</v>
      </c>
      <c r="I40" s="73">
        <f>+C40+D40+E40+F40+G40+H40</f>
        <v>19239</v>
      </c>
      <c r="J40" s="218" t="str">
        <f>+K45</f>
        <v>.</v>
      </c>
      <c r="K40" s="218" t="str">
        <f>IF(L38&gt;0,INDEX(FP!K:K,Doklady!B2),".")</f>
        <v>cheerleading</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cheerleading - bežné transfery</v>
      </c>
      <c r="M41" s="120">
        <v>1</v>
      </c>
      <c r="N41" s="161" t="str">
        <f>+L41</f>
        <v>a - cheerleading - bežné transfery</v>
      </c>
      <c r="O41" s="120">
        <v>2</v>
      </c>
      <c r="P41" s="161" t="str">
        <f>+L41</f>
        <v>a - cheerleading - bežné transfery</v>
      </c>
      <c r="Q41" s="120">
        <v>3</v>
      </c>
      <c r="R41" s="161" t="str">
        <f>+L41</f>
        <v>a - cheerleading - bežné transfery</v>
      </c>
      <c r="S41" s="120">
        <v>4</v>
      </c>
      <c r="T41" s="161" t="str">
        <f>+L41</f>
        <v>a - cheerleading - bežné transfery</v>
      </c>
      <c r="U41" s="120">
        <v>5</v>
      </c>
    </row>
    <row r="42" spans="1:21" ht="10.5" customHeight="1" x14ac:dyDescent="0.2">
      <c r="A42" s="115" t="s">
        <v>339</v>
      </c>
      <c r="B42" s="116" t="s">
        <v>376</v>
      </c>
      <c r="C42" s="73">
        <f>+C40</f>
        <v>3847.8</v>
      </c>
      <c r="D42" s="216">
        <f>+D40</f>
        <v>4397.5</v>
      </c>
      <c r="E42" s="216">
        <f>+E40</f>
        <v>8765</v>
      </c>
      <c r="F42" s="216">
        <f>+MIN(F39:F40)</f>
        <v>2000</v>
      </c>
      <c r="G42" s="216">
        <f>+MIN(G39+MAX(F39-F40,0)-MAX(E40-E39,0)-MAX(D40-D39,0)-MAX(C40-C39,0),G40)</f>
        <v>228.7</v>
      </c>
      <c r="H42" s="216">
        <f>+MIN(H39:H40)</f>
        <v>0</v>
      </c>
      <c r="I42" s="73">
        <f>+C42+D42+E42+MIN(F39:F40)+G42+H42</f>
        <v>19239</v>
      </c>
      <c r="J42" s="219">
        <f>+K47</f>
        <v>0</v>
      </c>
      <c r="K42" s="219">
        <f>+I42-H42</f>
        <v>19239</v>
      </c>
      <c r="L42" s="161" t="str">
        <f>+SUBSTITUTE(L41,"bežné","kapitálové")</f>
        <v>a - cheerleading - kapitálové transfery</v>
      </c>
      <c r="M42" s="120">
        <v>1</v>
      </c>
      <c r="N42" s="161" t="str">
        <f>+L42</f>
        <v>a - cheerleading - kapitálové transfery</v>
      </c>
      <c r="O42" s="120">
        <v>2</v>
      </c>
      <c r="P42" s="161" t="str">
        <f>+L42</f>
        <v>a - cheerleading - kapitálové transfery</v>
      </c>
      <c r="Q42" s="120">
        <v>3</v>
      </c>
      <c r="R42" s="161" t="str">
        <f>+L42</f>
        <v>a - cheerleading - kapitálové transfery</v>
      </c>
      <c r="S42" s="120">
        <v>4</v>
      </c>
      <c r="T42" s="161" t="str">
        <f>+L42</f>
        <v>a - cheerleading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17"/>
      <c r="B50" s="318"/>
      <c r="C50" s="318"/>
      <c r="D50" s="318"/>
      <c r="E50" s="318"/>
      <c r="F50" s="318"/>
      <c r="G50" s="318"/>
      <c r="H50" s="318"/>
      <c r="I50" s="318"/>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cheerleading - bežné transfery</v>
      </c>
      <c r="C53" s="73">
        <f>IF(A53&lt;&gt;"",INDEX(FP!D:D,Doklady!B$2+(ROW()-53)),"")</f>
        <v>19239</v>
      </c>
      <c r="D53" s="73">
        <f>IF(A53&lt;&gt;"",Doklady!I1-Doklady!J1,"")</f>
        <v>19239</v>
      </c>
      <c r="E53" s="73">
        <f>IF(A53&lt;&gt;"",MIN(D53,C53)*Doklady!C1/(1-Doklady!C1),"")</f>
        <v>0</v>
      </c>
      <c r="F53" s="71">
        <f>IF(A53&lt;&gt;"",Doklady!J1,"")</f>
        <v>0</v>
      </c>
      <c r="G53" s="73">
        <f>+IFERROR(HLOOKUP(IF(RIGHT(B53,15)="bežné transfery",LEFT(B53,LEN(B53)-18),0),$J$40:$K$42,3,0),MIN(C53,D53))</f>
        <v>19239</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19239</v>
      </c>
      <c r="D130" s="228">
        <f t="shared" ref="D130:I130" si="9">SUM(D53:D129)</f>
        <v>19239</v>
      </c>
      <c r="E130" s="228">
        <f t="shared" si="9"/>
        <v>0</v>
      </c>
      <c r="F130" s="228">
        <f t="shared" si="9"/>
        <v>0</v>
      </c>
      <c r="G130" s="228">
        <f t="shared" si="9"/>
        <v>19239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34"/>
      <c r="E140" s="334"/>
      <c r="F140" s="334"/>
      <c r="G140" s="334"/>
      <c r="H140" s="334"/>
      <c r="I140" s="334"/>
      <c r="J140" s="85"/>
    </row>
    <row r="141" spans="1:26" ht="68.25" customHeight="1" x14ac:dyDescent="0.25">
      <c r="A141" s="9"/>
      <c r="B141" s="283" t="s">
        <v>393</v>
      </c>
      <c r="C141" s="214"/>
      <c r="D141" s="314" t="s">
        <v>394</v>
      </c>
      <c r="E141" s="314"/>
      <c r="F141" s="314"/>
      <c r="G141" s="314"/>
      <c r="H141" s="314"/>
      <c r="I141" s="31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verticalDpi="3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4" zoomScaleNormal="100" workbookViewId="0">
      <selection activeCell="H120" sqref="H12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cheerleading - bežné transfery</v>
      </c>
      <c r="B1" s="232" t="str">
        <f>INDEX(Adr!A:A,B102+1)</f>
        <v>54041368</v>
      </c>
      <c r="C1" s="233">
        <f>IF(ROW()&lt;=B$3,INDEX(FP!E:E,B$2+ROW()-1),"")</f>
        <v>0</v>
      </c>
      <c r="D1" s="234" t="str">
        <f>IF(ROW()&lt;=B$3,INDEX(FP!F:F,B$2+ROW()-1),"")</f>
        <v>a</v>
      </c>
      <c r="E1" s="234"/>
      <c r="F1" s="234" t="str">
        <f>IF(ROW()&lt;=B$3,INDEX(FP!G:G,B$2+ROW()-1),"")</f>
        <v>026 02</v>
      </c>
      <c r="G1" s="234"/>
      <c r="H1" s="235" t="str">
        <f>IF(ROW()&lt;=B$3,INDEX(FP!C:C,B$2+ROW()-1),"")</f>
        <v>cheerleading - bežné transfery</v>
      </c>
      <c r="I1" s="236">
        <f t="shared" ref="I1:I6" si="0">IF(ROW()&lt;=B$3,SUMIF(A$107:A$10042,A1,I$107:I$10042),"")</f>
        <v>19239</v>
      </c>
      <c r="J1" s="236">
        <f t="shared" ref="J1:J32" si="1">IF(ROW()&lt;=B$3,SUMIFS(I$103:I$50042,A$103:A$50042,K1,J$103:J$50042,L1),"")</f>
        <v>0</v>
      </c>
      <c r="K1" s="110" t="str">
        <f>$A1</f>
        <v>a - cheerleading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92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61" t="s">
        <v>329</v>
      </c>
      <c r="B100" s="361"/>
      <c r="C100" s="361"/>
      <c r="D100" s="361"/>
      <c r="E100" s="361"/>
      <c r="F100" s="361"/>
      <c r="G100" s="361"/>
      <c r="H100" s="361"/>
      <c r="I100" s="363" t="s">
        <v>2271</v>
      </c>
      <c r="J100" s="363"/>
      <c r="K100" s="89"/>
    </row>
    <row r="101" spans="1:25" ht="15.6" x14ac:dyDescent="0.3">
      <c r="A101" s="361"/>
      <c r="B101" s="361"/>
      <c r="C101" s="361"/>
      <c r="D101" s="361"/>
      <c r="E101" s="361"/>
      <c r="F101" s="361"/>
      <c r="G101" s="361"/>
      <c r="H101" s="361"/>
      <c r="I101" s="362">
        <v>45887</v>
      </c>
      <c r="J101" s="362"/>
    </row>
    <row r="102" spans="1:25" ht="13.8" x14ac:dyDescent="0.25">
      <c r="A102" s="249" t="s">
        <v>399</v>
      </c>
      <c r="B102" s="250">
        <v>54</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2293</v>
      </c>
      <c r="B107" s="14" t="s">
        <v>2361</v>
      </c>
      <c r="C107" s="14" t="s">
        <v>2362</v>
      </c>
      <c r="D107" s="16">
        <v>45917</v>
      </c>
      <c r="E107" s="16"/>
      <c r="F107" s="14" t="s">
        <v>2363</v>
      </c>
      <c r="G107" s="14" t="s">
        <v>2306</v>
      </c>
      <c r="H107" s="14" t="s">
        <v>2307</v>
      </c>
      <c r="I107" s="15">
        <v>765</v>
      </c>
      <c r="J107" s="77">
        <v>3</v>
      </c>
      <c r="K107" s="92"/>
    </row>
    <row r="108" spans="1:25" ht="30.6" x14ac:dyDescent="0.25">
      <c r="A108" s="14" t="s">
        <v>2293</v>
      </c>
      <c r="B108" s="14" t="s">
        <v>2294</v>
      </c>
      <c r="C108" s="14" t="s">
        <v>2295</v>
      </c>
      <c r="D108" s="16">
        <v>45919</v>
      </c>
      <c r="E108" s="16"/>
      <c r="F108" s="14" t="s">
        <v>2296</v>
      </c>
      <c r="G108" s="14" t="s">
        <v>2297</v>
      </c>
      <c r="H108" s="14" t="s">
        <v>2298</v>
      </c>
      <c r="I108" s="15">
        <v>552.61</v>
      </c>
      <c r="J108" s="77">
        <v>2</v>
      </c>
      <c r="K108" s="92"/>
    </row>
    <row r="109" spans="1:25" ht="20.399999999999999" x14ac:dyDescent="0.25">
      <c r="A109" s="14" t="s">
        <v>2293</v>
      </c>
      <c r="B109" s="14" t="s">
        <v>2299</v>
      </c>
      <c r="C109" s="14" t="s">
        <v>2300</v>
      </c>
      <c r="D109" s="16">
        <v>45918</v>
      </c>
      <c r="E109" s="16"/>
      <c r="F109" s="14" t="s">
        <v>2301</v>
      </c>
      <c r="G109" s="14" t="s">
        <v>571</v>
      </c>
      <c r="H109" s="14" t="s">
        <v>2302</v>
      </c>
      <c r="I109" s="15">
        <v>2760</v>
      </c>
      <c r="J109" s="77">
        <v>1</v>
      </c>
      <c r="K109" s="92"/>
    </row>
    <row r="110" spans="1:25" ht="20.399999999999999" x14ac:dyDescent="0.25">
      <c r="A110" s="14" t="s">
        <v>2293</v>
      </c>
      <c r="B110" s="14" t="s">
        <v>2303</v>
      </c>
      <c r="C110" s="14" t="s">
        <v>2304</v>
      </c>
      <c r="D110" s="16">
        <v>45946</v>
      </c>
      <c r="E110" s="16"/>
      <c r="F110" s="14" t="s">
        <v>2305</v>
      </c>
      <c r="G110" s="14" t="s">
        <v>2306</v>
      </c>
      <c r="H110" s="14" t="s">
        <v>2307</v>
      </c>
      <c r="I110" s="15">
        <v>450</v>
      </c>
      <c r="J110" s="77">
        <v>2</v>
      </c>
      <c r="K110" s="92"/>
    </row>
    <row r="111" spans="1:25" ht="30.6" x14ac:dyDescent="0.25">
      <c r="A111" s="14" t="s">
        <v>2293</v>
      </c>
      <c r="B111" s="14" t="s">
        <v>2310</v>
      </c>
      <c r="C111" s="14" t="s">
        <v>2311</v>
      </c>
      <c r="D111" s="16">
        <v>45952</v>
      </c>
      <c r="E111" s="16"/>
      <c r="F111" s="14" t="s">
        <v>2312</v>
      </c>
      <c r="G111" s="14" t="s">
        <v>2313</v>
      </c>
      <c r="H111" s="14" t="s">
        <v>2314</v>
      </c>
      <c r="I111" s="15">
        <v>170</v>
      </c>
      <c r="J111" s="77">
        <v>1</v>
      </c>
      <c r="K111" s="92"/>
    </row>
    <row r="112" spans="1:25" ht="20.399999999999999" x14ac:dyDescent="0.25">
      <c r="A112" s="14" t="s">
        <v>2293</v>
      </c>
      <c r="B112" s="14" t="s">
        <v>2315</v>
      </c>
      <c r="C112" s="14" t="s">
        <v>2316</v>
      </c>
      <c r="D112" s="16">
        <v>45957</v>
      </c>
      <c r="E112" s="16"/>
      <c r="F112" s="14" t="s">
        <v>2317</v>
      </c>
      <c r="G112" s="14" t="s">
        <v>2318</v>
      </c>
      <c r="H112" s="14" t="s">
        <v>2319</v>
      </c>
      <c r="I112" s="15">
        <v>218</v>
      </c>
      <c r="J112" s="77">
        <v>2</v>
      </c>
      <c r="K112" s="92"/>
    </row>
    <row r="113" spans="1:11" ht="20.399999999999999" x14ac:dyDescent="0.25">
      <c r="A113" s="14" t="s">
        <v>2293</v>
      </c>
      <c r="B113" s="14" t="s">
        <v>2320</v>
      </c>
      <c r="C113" s="14" t="s">
        <v>2321</v>
      </c>
      <c r="D113" s="16">
        <v>45968</v>
      </c>
      <c r="E113" s="16"/>
      <c r="F113" s="14" t="s">
        <v>2322</v>
      </c>
      <c r="G113" s="14"/>
      <c r="H113" s="14" t="s">
        <v>2323</v>
      </c>
      <c r="I113" s="15">
        <v>1000</v>
      </c>
      <c r="J113" s="77">
        <v>4</v>
      </c>
      <c r="K113" s="92"/>
    </row>
    <row r="114" spans="1:11" ht="20.399999999999999" x14ac:dyDescent="0.25">
      <c r="A114" s="14" t="s">
        <v>2293</v>
      </c>
      <c r="B114" s="14" t="s">
        <v>2325</v>
      </c>
      <c r="C114" s="14" t="s">
        <v>2326</v>
      </c>
      <c r="D114" s="16">
        <v>45973</v>
      </c>
      <c r="E114" s="16"/>
      <c r="F114" s="14" t="s">
        <v>2327</v>
      </c>
      <c r="G114" s="14" t="s">
        <v>2308</v>
      </c>
      <c r="H114" s="14" t="s">
        <v>2309</v>
      </c>
      <c r="I114" s="15">
        <v>390</v>
      </c>
      <c r="J114" s="77">
        <v>2</v>
      </c>
      <c r="K114" s="92"/>
    </row>
    <row r="115" spans="1:11" ht="20.399999999999999" x14ac:dyDescent="0.25">
      <c r="A115" s="14" t="s">
        <v>2293</v>
      </c>
      <c r="B115" s="14" t="s">
        <v>2328</v>
      </c>
      <c r="C115" s="14" t="s">
        <v>2329</v>
      </c>
      <c r="D115" s="16">
        <v>45978</v>
      </c>
      <c r="E115" s="16"/>
      <c r="F115" s="14" t="s">
        <v>2330</v>
      </c>
      <c r="G115" s="14" t="s">
        <v>2306</v>
      </c>
      <c r="H115" s="14" t="s">
        <v>2307</v>
      </c>
      <c r="I115" s="15">
        <v>690</v>
      </c>
      <c r="J115" s="77">
        <v>2</v>
      </c>
      <c r="K115" s="92"/>
    </row>
    <row r="116" spans="1:11" ht="20.399999999999999" x14ac:dyDescent="0.25">
      <c r="A116" s="14" t="s">
        <v>2293</v>
      </c>
      <c r="B116" s="14" t="s">
        <v>2331</v>
      </c>
      <c r="C116" s="14" t="s">
        <v>2332</v>
      </c>
      <c r="D116" s="16">
        <v>45989</v>
      </c>
      <c r="E116" s="16"/>
      <c r="F116" s="14" t="s">
        <v>2333</v>
      </c>
      <c r="G116" s="14" t="s">
        <v>2318</v>
      </c>
      <c r="H116" s="14" t="s">
        <v>2319</v>
      </c>
      <c r="I116" s="15">
        <v>248.8</v>
      </c>
      <c r="J116" s="77">
        <v>2</v>
      </c>
      <c r="K116" s="92"/>
    </row>
    <row r="117" spans="1:11" ht="20.399999999999999" x14ac:dyDescent="0.25">
      <c r="A117" s="14" t="s">
        <v>2293</v>
      </c>
      <c r="B117" s="14" t="s">
        <v>2334</v>
      </c>
      <c r="C117" s="14" t="s">
        <v>2321</v>
      </c>
      <c r="D117" s="16">
        <v>46002</v>
      </c>
      <c r="E117" s="16"/>
      <c r="F117" s="14" t="s">
        <v>2335</v>
      </c>
      <c r="G117" s="14"/>
      <c r="H117" s="14" t="s">
        <v>2323</v>
      </c>
      <c r="I117" s="15">
        <v>1000</v>
      </c>
      <c r="J117" s="77">
        <v>4</v>
      </c>
      <c r="K117" s="92"/>
    </row>
    <row r="118" spans="1:11" ht="30.6" x14ac:dyDescent="0.25">
      <c r="A118" s="14" t="s">
        <v>2293</v>
      </c>
      <c r="B118" s="14" t="s">
        <v>2336</v>
      </c>
      <c r="C118" s="14" t="s">
        <v>2337</v>
      </c>
      <c r="D118" s="16">
        <v>46003</v>
      </c>
      <c r="E118" s="16"/>
      <c r="F118" s="14" t="s">
        <v>2338</v>
      </c>
      <c r="G118" s="14" t="s">
        <v>2306</v>
      </c>
      <c r="H118" s="14" t="s">
        <v>2307</v>
      </c>
      <c r="I118" s="15">
        <v>828</v>
      </c>
      <c r="J118" s="77">
        <v>2</v>
      </c>
      <c r="K118" s="92"/>
    </row>
    <row r="119" spans="1:11" ht="20.399999999999999" x14ac:dyDescent="0.25">
      <c r="A119" s="14" t="s">
        <v>2293</v>
      </c>
      <c r="B119" s="14" t="s">
        <v>2339</v>
      </c>
      <c r="C119" s="14" t="s">
        <v>2340</v>
      </c>
      <c r="D119" s="16">
        <v>46009</v>
      </c>
      <c r="E119" s="16"/>
      <c r="F119" s="14" t="s">
        <v>2341</v>
      </c>
      <c r="G119" s="14" t="s">
        <v>571</v>
      </c>
      <c r="H119" s="14" t="s">
        <v>2342</v>
      </c>
      <c r="I119" s="15">
        <v>228.7</v>
      </c>
      <c r="J119" s="77">
        <v>5</v>
      </c>
      <c r="K119" s="92"/>
    </row>
    <row r="120" spans="1:11" ht="20.399999999999999" x14ac:dyDescent="0.25">
      <c r="A120" s="14" t="s">
        <v>2293</v>
      </c>
      <c r="B120" s="14" t="s">
        <v>2343</v>
      </c>
      <c r="C120" s="14" t="s">
        <v>2344</v>
      </c>
      <c r="D120" s="16">
        <v>46010</v>
      </c>
      <c r="E120" s="16"/>
      <c r="F120" s="14" t="s">
        <v>2345</v>
      </c>
      <c r="G120" s="14" t="s">
        <v>571</v>
      </c>
      <c r="H120" s="14" t="s">
        <v>2324</v>
      </c>
      <c r="I120" s="15">
        <v>209.59</v>
      </c>
      <c r="J120" s="77">
        <v>2</v>
      </c>
      <c r="K120" s="92"/>
    </row>
    <row r="121" spans="1:11" ht="20.399999999999999" x14ac:dyDescent="0.25">
      <c r="A121" s="14" t="s">
        <v>2293</v>
      </c>
      <c r="B121" s="14" t="s">
        <v>2346</v>
      </c>
      <c r="C121" s="14" t="s">
        <v>2347</v>
      </c>
      <c r="D121" s="16">
        <v>46021</v>
      </c>
      <c r="E121" s="16"/>
      <c r="F121" s="14" t="s">
        <v>2348</v>
      </c>
      <c r="G121" s="14" t="s">
        <v>2306</v>
      </c>
      <c r="H121" s="14" t="s">
        <v>2307</v>
      </c>
      <c r="I121" s="15">
        <v>414</v>
      </c>
      <c r="J121" s="77">
        <v>2</v>
      </c>
      <c r="K121" s="92"/>
    </row>
    <row r="122" spans="1:11" ht="20.399999999999999" x14ac:dyDescent="0.25">
      <c r="A122" s="14" t="s">
        <v>2293</v>
      </c>
      <c r="B122" s="14" t="s">
        <v>2349</v>
      </c>
      <c r="C122" s="14" t="s">
        <v>2350</v>
      </c>
      <c r="D122" s="16">
        <v>46021</v>
      </c>
      <c r="E122" s="16"/>
      <c r="F122" s="14" t="s">
        <v>2351</v>
      </c>
      <c r="G122" s="14" t="s">
        <v>2352</v>
      </c>
      <c r="H122" s="14" t="s">
        <v>2353</v>
      </c>
      <c r="I122" s="15">
        <v>8000</v>
      </c>
      <c r="J122" s="77">
        <v>3</v>
      </c>
      <c r="K122" s="92"/>
    </row>
    <row r="123" spans="1:11" ht="20.399999999999999" x14ac:dyDescent="0.25">
      <c r="A123" s="14" t="s">
        <v>2293</v>
      </c>
      <c r="B123" s="14" t="s">
        <v>2354</v>
      </c>
      <c r="C123" s="14" t="s">
        <v>2355</v>
      </c>
      <c r="D123" s="16">
        <v>46021</v>
      </c>
      <c r="E123" s="16"/>
      <c r="F123" s="14" t="s">
        <v>2356</v>
      </c>
      <c r="G123" s="14" t="s">
        <v>2367</v>
      </c>
      <c r="H123" s="14" t="s">
        <v>2357</v>
      </c>
      <c r="I123" s="15">
        <v>470</v>
      </c>
      <c r="J123" s="77">
        <v>1</v>
      </c>
      <c r="K123" s="92"/>
    </row>
    <row r="124" spans="1:11" ht="20.399999999999999" x14ac:dyDescent="0.25">
      <c r="A124" s="14" t="s">
        <v>2293</v>
      </c>
      <c r="B124" s="14" t="s">
        <v>2358</v>
      </c>
      <c r="C124" s="14" t="s">
        <v>2359</v>
      </c>
      <c r="D124" s="16">
        <v>46021</v>
      </c>
      <c r="E124" s="16"/>
      <c r="F124" s="14" t="s">
        <v>2360</v>
      </c>
      <c r="G124" s="14" t="s">
        <v>2308</v>
      </c>
      <c r="H124" s="14" t="s">
        <v>2309</v>
      </c>
      <c r="I124" s="15">
        <v>396.5</v>
      </c>
      <c r="J124" s="77">
        <v>2</v>
      </c>
      <c r="K124" s="92"/>
    </row>
    <row r="125" spans="1:11" ht="40.799999999999997" x14ac:dyDescent="0.25">
      <c r="A125" s="14" t="s">
        <v>2293</v>
      </c>
      <c r="B125" s="14" t="s">
        <v>2364</v>
      </c>
      <c r="C125" s="14" t="s">
        <v>2366</v>
      </c>
      <c r="D125" s="16">
        <v>46112</v>
      </c>
      <c r="E125" s="16"/>
      <c r="F125" s="14" t="s">
        <v>2365</v>
      </c>
      <c r="G125" s="14" t="s">
        <v>2306</v>
      </c>
      <c r="H125" s="14" t="s">
        <v>2307</v>
      </c>
      <c r="I125" s="15">
        <v>447.8</v>
      </c>
      <c r="J125" s="77">
        <v>1</v>
      </c>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85" orientation="landscape" verticalDpi="300"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8" t="str">
        <f>Spolu!C3&amp;", "&amp;Spolu!C6</f>
        <v>SLOVENSKÁ CHEERLEADING ÚNIA, Novozámocká 3212/22, Zvolen, 960 01</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54041368</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Andrea Michalovičová</cp:lastModifiedBy>
  <cp:revision/>
  <cp:lastPrinted>2026-04-14T14:35:14Z</cp:lastPrinted>
  <dcterms:created xsi:type="dcterms:W3CDTF">2017-02-20T06:20:12Z</dcterms:created>
  <dcterms:modified xsi:type="dcterms:W3CDTF">2026-04-15T10:19:34Z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