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24226"/>
  <mc:AlternateContent xmlns:mc="http://schemas.openxmlformats.org/markup-compatibility/2006">
    <mc:Choice Requires="x15">
      <x15ac:absPath xmlns:x15ac="http://schemas.microsoft.com/office/spreadsheetml/2010/11/ac" url="C:\Users\asus\Desktop\Projekt kemp\"/>
    </mc:Choice>
  </mc:AlternateContent>
  <xr:revisionPtr revIDLastSave="0" documentId="8_{71ECE56B-615D-467D-B906-7DEF6933D77C}" xr6:coauthVersionLast="47" xr6:coauthVersionMax="47" xr10:uidLastSave="{00000000-0000-0000-0000-000000000000}"/>
  <bookViews>
    <workbookView xWindow="-108" yWindow="-108" windowWidth="23256" windowHeight="13176"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externalReferences>
    <externalReference r:id="rId12"/>
  </externalReference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1" i="4" l="1"/>
  <c r="C110" i="4"/>
  <c r="I268" i="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<sst xmlns="http://schemas.openxmlformats.org/spreadsheetml/2006/main" count="6564" uniqueCount="3025">
  <si>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</si>
  <si>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</si>
  <si>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</si>
  <si>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</si>
  <si>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</si>
  <si>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</si>
  <si>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</si>
  <si>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</si>
  <si>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</si>
  <si>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</si>
  <si>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</si>
  <si>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</si>
  <si>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</si>
  <si>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</si>
  <si>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</si>
  <si>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</si>
  <si>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</si>
  <si>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</si>
  <si>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</si>
  <si>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</si>
  <si>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</si>
  <si>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</si>
  <si>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</si>
  <si>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</si>
  <si>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</si>
  <si>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</si>
  <si>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</si>
  <si>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</si>
  <si>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</si>
  <si>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</si>
  <si>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</si>
  <si>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</si>
  <si>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</si>
  <si>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</si>
  <si>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</si>
  <si>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</si>
  <si>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</si>
  <si>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</si>
  <si>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</si>
  <si>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</si>
  <si>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</si>
  <si>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</si>
  <si>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</si>
  <si>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</si>
  <si>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</si>
  <si>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</si>
  <si>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</si>
  <si>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</si>
  <si>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</si>
  <si>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</si>
  <si>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</si>
  <si>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</si>
  <si>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</si>
  <si>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</si>
  <si>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</si>
  <si>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</si>
  <si>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</si>
  <si>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</si>
  <si>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</si>
  <si>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</si>
  <si>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</si>
  <si>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</si>
  <si>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</si>
  <si>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</si>
  <si>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</si>
  <si>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</si>
  <si>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</si>
  <si>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</si>
  <si>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</si>
  <si>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</si>
  <si>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</si>
  <si>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</si>
  <si>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</si>
  <si>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</si>
  <si>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</si>
  <si>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</si>
  <si>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</si>
  <si>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</si>
  <si>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</si>
  <si>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</si>
  <si>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</si>
  <si>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</si>
  <si>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</si>
  <si>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</si>
  <si>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</si>
  <si>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</si>
  <si>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</si>
  <si>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</si>
  <si>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</si>
  <si>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</si>
  <si>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</si>
  <si>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</si>
  <si>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</si>
  <si>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</si>
  <si>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</si>
  <si>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</si>
  <si>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</si>
  <si>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</si>
  <si>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</si>
  <si>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</si>
  <si>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</si>
  <si>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</si>
  <si>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</si>
  <si>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</si>
  <si>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</si>
  <si>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</si>
  <si>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</si>
  <si>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</si>
  <si>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</si>
  <si>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</si>
  <si>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</si>
  <si>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</si>
  <si>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</si>
  <si>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</si>
  <si>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</si>
  <si>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</si>
  <si>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</si>
  <si>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</si>
  <si>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</si>
  <si>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</si>
  <si>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</si>
  <si>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</si>
  <si>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</si>
  <si>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</si>
  <si>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</si>
  <si>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</si>
  <si>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</si>
  <si>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</si>
  <si>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</si>
  <si>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</si>
  <si>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</si>
  <si>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</si>
  <si>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</si>
  <si>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</si>
  <si>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</si>
  <si>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</si>
  <si>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</si>
  <si>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</si>
  <si>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</si>
  <si>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</si>
  <si>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</si>
  <si>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</si>
  <si>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</si>
  <si>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</si>
  <si>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</si>
  <si>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</si>
  <si>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</si>
  <si>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</si>
  <si>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</si>
  <si>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</si>
  <si>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</si>
  <si>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</si>
  <si>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</si>
  <si>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</si>
  <si>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</si>
  <si>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</si>
  <si>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</si>
  <si>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</si>
  <si>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</si>
  <si>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</si>
  <si>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</si>
  <si>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</si>
  <si>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</si>
  <si>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</si>
  <si>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</si>
  <si>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</si>
  <si>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</si>
  <si>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</si>
  <si>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</si>
  <si>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</si>
  <si>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</si>
  <si>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</si>
  <si>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</si>
  <si>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</si>
  <si>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</si>
  <si>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</si>
  <si>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</si>
  <si>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</si>
  <si>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</si>
  <si>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</si>
  <si>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</si>
  <si>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</si>
  <si>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</si>
  <si>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</si>
  <si>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</si>
  <si>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</si>
  <si>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</si>
  <si>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</si>
  <si>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</si>
  <si>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</si>
  <si>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</si>
  <si>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</si>
  <si>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</si>
  <si>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</si>
  <si>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</si>
  <si>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</si>
  <si>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</si>
  <si>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</si>
  <si>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</si>
  <si>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</si>
  <si>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</si>
  <si>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</si>
  <si>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</si>
  <si>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</si>
  <si>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</si>
  <si>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</si>
  <si>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</si>
  <si>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</si>
  <si>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</si>
  <si>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</si>
  <si>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</si>
  <si>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</si>
  <si>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</si>
  <si>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</si>
  <si>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</si>
  <si>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</si>
  <si>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</si>
  <si>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</si>
  <si>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</si>
  <si>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</si>
  <si>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</si>
  <si>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</si>
  <si>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</si>
  <si>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</si>
  <si>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</si>
  <si>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</si>
  <si>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</si>
  <si>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</si>
  <si>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</si>
  <si>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</si>
  <si>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</si>
  <si>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</si>
  <si>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</si>
  <si>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</si>
  <si>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</si>
  <si>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</si>
  <si>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</si>
  <si>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</si>
  <si>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</si>
  <si>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</si>
  <si>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</si>
  <si>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</si>
  <si>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</si>
  <si>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</si>
  <si>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</si>
  <si>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</si>
  <si>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</si>
  <si>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</si>
  <si>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</si>
  <si>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</si>
  <si>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</si>
  <si>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</si>
  <si>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</si>
  <si>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</si>
  <si>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</si>
  <si>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</si>
  <si>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</si>
  <si>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</si>
  <si>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</si>
  <si>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</si>
  <si>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</si>
  <si>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</si>
  <si>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</si>
  <si>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</si>
  <si>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</si>
  <si>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</si>
  <si>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</si>
  <si>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</si>
  <si>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</si>
  <si>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</si>
  <si>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</si>
  <si>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</si>
  <si>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</si>
  <si>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</si>
  <si>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</si>
  <si>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</si>
  <si>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</si>
  <si>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</si>
  <si>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</si>
  <si>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</si>
  <si>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</si>
  <si>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</si>
  <si>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</si>
  <si>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</si>
  <si>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</si>
  <si>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</si>
  <si>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</si>
  <si>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</si>
  <si>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</si>
  <si>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</si>
  <si>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</si>
  <si>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</si>
  <si>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</si>
  <si>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</si>
  <si>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</si>
  <si>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</si>
  <si>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</si>
  <si>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</si>
  <si>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</si>
  <si>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</si>
  <si>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</si>
  <si>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</si>
  <si>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</si>
  <si>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</si>
  <si>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</si>
  <si>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</si>
  <si>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</si>
  <si>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</si>
  <si>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</si>
  <si>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</si>
  <si>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</si>
  <si>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</si>
  <si>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</si>
  <si>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</si>
  <si>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</si>
  <si>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</si>
  <si>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</si>
  <si>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</si>
  <si>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</si>
  <si>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</si>
  <si>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</si>
  <si>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</si>
  <si>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</si>
  <si>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</si>
  <si>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</si>
  <si>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</si>
  <si>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</si>
  <si>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</si>
  <si>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</si>
  <si>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</si>
  <si>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</si>
  <si>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</si>
  <si>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</si>
  <si>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</si>
  <si>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</si>
  <si>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</si>
  <si>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</si>
  <si>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</si>
  <si>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</si>
  <si>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</si>
  <si>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</si>
  <si>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</si>
  <si>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</si>
  <si>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</si>
  <si>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</si>
  <si>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</si>
  <si>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</si>
  <si>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</si>
  <si>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</si>
  <si>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</si>
  <si>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</si>
  <si>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</si>
  <si>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</si>
  <si>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</si>
  <si>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</si>
  <si>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</si>
  <si>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</si>
  <si>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</si>
  <si>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</si>
  <si>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</si>
  <si>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</si>
  <si>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</si>
  <si>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</si>
  <si>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</si>
  <si>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</si>
  <si>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</si>
  <si>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</si>
  <si>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</si>
  <si>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</si>
  <si>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</si>
  <si>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</si>
  <si>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</si>
  <si>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</si>
  <si>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</si>
  <si>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</si>
  <si>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</si>
  <si>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</si>
  <si>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</si>
  <si>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</si>
  <si>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</si>
  <si>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</si>
  <si>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</si>
  <si>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</si>
  <si>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</si>
  <si>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</si>
  <si>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</si>
  <si>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</si>
  <si>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</si>
  <si>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</si>
  <si>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</si>
  <si>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</si>
  <si>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</si>
  <si>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</si>
  <si>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</si>
  <si>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</si>
  <si>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</si>
  <si>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</si>
  <si>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</si>
  <si>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</si>
  <si>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</si>
  <si>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</si>
  <si>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</si>
  <si>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</si>
  <si>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</si>
  <si>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</si>
  <si>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</si>
  <si>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</si>
  <si>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</si>
  <si>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</si>
  <si>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</si>
  <si>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</si>
  <si>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</si>
  <si>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</si>
  <si>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</si>
  <si>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</si>
  <si>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</si>
  <si>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</si>
  <si>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</si>
  <si>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</si>
  <si>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</si>
  <si>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</si>
  <si>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</si>
  <si>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</si>
  <si>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</si>
  <si>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</si>
  <si>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</si>
  <si>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</si>
  <si>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</si>
  <si>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</si>
  <si>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</si>
  <si>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</si>
  <si>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</si>
  <si>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</si>
  <si>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</si>
  <si>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</si>
  <si>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</si>
  <si>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</si>
  <si>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</si>
  <si>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</si>
  <si>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</si>
  <si>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</si>
  <si>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</si>
  <si>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</si>
  <si>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</si>
  <si>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</si>
  <si>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</si>
  <si>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</si>
  <si>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</si>
  <si>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</si>
  <si>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</si>
  <si>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</si>
  <si>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</si>
  <si>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</si>
  <si>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</si>
  <si>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</si>
  <si>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</si>
  <si>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</si>
  <si>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</si>
  <si>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</si>
  <si>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</si>
  <si>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</si>
  <si>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</si>
  <si>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</si>
  <si>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</si>
  <si>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</si>
  <si>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</si>
  <si>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</si>
  <si>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</si>
  <si>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</si>
  <si>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</si>
  <si>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</si>
  <si>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</si>
  <si>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</si>
  <si>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</si>
  <si>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</si>
  <si>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</si>
  <si>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</si>
  <si>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</si>
  <si>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</si>
  <si>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</si>
  <si>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</si>
  <si>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</si>
  <si>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</si>
  <si>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</si>
  <si>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</si>
  <si>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</si>
  <si>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</si>
  <si>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</si>
  <si>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</si>
  <si>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</si>
  <si>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</si>
  <si>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</si>
  <si>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</si>
  <si>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</si>
  <si>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</si>
  <si>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</si>
  <si>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</si>
  <si>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</si>
  <si>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</si>
  <si>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</si>
  <si>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</si>
  <si>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</si>
  <si>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</si>
  <si>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</si>
  <si>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</si>
  <si>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</si>
  <si>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</si>
  <si>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</si>
  <si>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</si>
  <si>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</si>
  <si>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</si>
  <si>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</si>
  <si>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</si>
  <si>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</si>
  <si>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</si>
  <si>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</si>
  <si>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</si>
  <si>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</si>
  <si>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</si>
  <si>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</si>
  <si>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</si>
  <si>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</si>
  <si>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</si>
  <si>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</si>
  <si>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</si>
  <si>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</si>
  <si>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</si>
  <si>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</si>
  <si>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</si>
  <si>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</si>
  <si>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</si>
  <si>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</si>
  <si>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</si>
  <si>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</si>
  <si>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</si>
  <si>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</si>
  <si>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</si>
  <si>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</si>
  <si>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</si>
  <si>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</si>
  <si>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</si>
  <si>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</si>
  <si>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</si>
  <si>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</si>
  <si>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</si>
  <si>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</si>
  <si>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</si>
  <si>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</si>
  <si>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</si>
  <si>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</si>
  <si>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</si>
  <si>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</si>
  <si>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</si>
  <si>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</si>
  <si>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</si>
  <si>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</si>
  <si>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</si>
  <si>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</si>
  <si>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</si>
  <si>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</si>
  <si>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</si>
  <si>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</si>
  <si>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</si>
  <si>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</si>
  <si>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</si>
  <si>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</si>
  <si>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</si>
  <si>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</si>
  <si>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</si>
  <si>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</si>
  <si>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</si>
  <si>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</si>
  <si>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</si>
  <si>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</si>
  <si>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</si>
  <si>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</si>
  <si>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</si>
  <si>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</si>
  <si>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</si>
  <si>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</si>
  <si>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</si>
  <si>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</si>
  <si>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</si>
  <si>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</si>
  <si>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</si>
  <si>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</si>
  <si>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</si>
  <si>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</si>
  <si>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</si>
  <si>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</si>
  <si>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</si>
  <si>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</si>
  <si>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</si>
  <si>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</si>
  <si>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</si>
  <si>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</si>
  <si>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</si>
  <si>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</si>
  <si>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</si>
  <si>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</si>
  <si>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</si>
  <si>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</si>
  <si>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</si>
  <si>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</si>
  <si>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</si>
  <si>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</si>
  <si>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</si>
  <si>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</si>
  <si>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</si>
  <si>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</si>
  <si>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</si>
  <si>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</si>
  <si>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</si>
  <si>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</si>
  <si>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</si>
  <si>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</si>
  <si>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</si>
  <si>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</si>
  <si>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</si>
  <si>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</si>
  <si>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</si>
  <si>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</si>
  <si>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</si>
  <si>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</si>
  <si>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</si>
  <si>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</si>
  <si>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</si>
  <si>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</si>
  <si>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</si>
  <si>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</si>
  <si>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</si>
  <si>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</si>
  <si>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</si>
  <si>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</si>
  <si>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</si>
  <si>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</si>
  <si>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</si>
  <si>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</si>
  <si>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</si>
  <si>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</si>
  <si>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</si>
  <si>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</si>
  <si>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</si>
  <si>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</si>
  <si>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</si>
  <si>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</si>
  <si>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</si>
  <si>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</si>
  <si>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</si>
  <si>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</si>
  <si>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</si>
  <si>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</si>
  <si>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</si>
  <si>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</si>
  <si>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</si>
  <si>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</si>
  <si>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</si>
  <si>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</si>
  <si>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</si>
  <si>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</si>
  <si>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</si>
  <si>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</si>
  <si>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</si>
  <si>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</si>
  <si>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</si>
  <si>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</si>
  <si>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</si>
  <si>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</si>
  <si>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</si>
  <si>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</si>
  <si>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</si>
  <si>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</si>
  <si>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</si>
  <si>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</si>
  <si>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</si>
  <si>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</si>
  <si>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</si>
  <si>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</si>
  <si>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</si>
  <si>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</si>
  <si>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</si>
  <si>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</si>
  <si>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</si>
  <si>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</si>
  <si>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</si>
  <si>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</si>
  <si>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</si>
  <si>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</si>
  <si>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</si>
  <si>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</si>
  <si>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</si>
  <si>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</si>
  <si>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</si>
  <si>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</si>
  <si>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</si>
  <si>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</si>
  <si>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</si>
  <si>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</si>
  <si>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</si>
  <si>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</si>
  <si>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</si>
  <si>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</si>
  <si>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</si>
  <si>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</si>
  <si>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</si>
  <si>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</si>
  <si>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</si>
  <si>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</si>
  <si>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</si>
  <si>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</si>
  <si>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</si>
  <si>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</si>
  <si>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</si>
  <si>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</si>
  <si>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</si>
  <si>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</si>
  <si>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</si>
  <si>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</si>
  <si>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</si>
  <si>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</si>
  <si>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</si>
  <si>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</si>
  <si>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</si>
  <si>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</si>
  <si>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</si>
  <si>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</si>
  <si>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</si>
  <si>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</si>
  <si>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</si>
  <si>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</si>
  <si>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</si>
  <si>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</si>
  <si>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</si>
  <si>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</si>
  <si>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</si>
  <si>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</si>
  <si>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</si>
  <si>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</si>
  <si>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</si>
  <si>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</si>
  <si>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</si>
  <si>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</si>
  <si>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</si>
  <si>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</si>
  <si>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</si>
  <si>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</si>
  <si>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</si>
  <si>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</si>
  <si>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</si>
  <si>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</si>
  <si>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</si>
  <si>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</si>
  <si>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</si>
  <si>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</si>
  <si>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</si>
  <si>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</si>
  <si>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</si>
  <si>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</si>
  <si>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</si>
  <si>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</si>
  <si>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</si>
  <si>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</si>
  <si>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</si>
  <si>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</si>
  <si>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</si>
  <si>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</si>
  <si>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</si>
  <si>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</si>
  <si>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</si>
  <si>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</si>
  <si>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</si>
  <si>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</si>
  <si>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</si>
  <si>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</si>
  <si>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</si>
  <si>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</si>
  <si>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</si>
  <si>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</si>
  <si>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</si>
  <si>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</si>
  <si>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</si>
  <si>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</si>
  <si>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</si>
  <si>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</si>
  <si>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</si>
  <si>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</si>
  <si>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</si>
  <si>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</si>
  <si>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</si>
  <si>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</si>
  <si>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</si>
  <si>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</si>
  <si>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</si>
  <si>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</si>
  <si>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</si>
  <si>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</si>
  <si>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</si>
  <si>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</si>
  <si>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</si>
  <si>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</si>
  <si>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</si>
  <si>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</si>
  <si>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</si>
  <si>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</si>
  <si>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</si>
  <si>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</si>
  <si>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</si>
  <si>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</si>
  <si>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</si>
  <si>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</si>
  <si>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</si>
  <si>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</si>
  <si>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</si>
  <si>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</si>
  <si>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</si>
  <si>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</si>
  <si>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</si>
  <si>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</si>
  <si>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</si>
  <si>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</si>
  <si>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</si>
  <si>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</si>
  <si>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</si>
  <si>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</si>
  <si>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</si>
  <si>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</si>
  <si>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</si>
  <si>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</si>
  <si>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</si>
  <si>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</si>
  <si>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</si>
  <si>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</si>
  <si>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</si>
  <si>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</si>
  <si>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</si>
  <si>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</si>
  <si>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</si>
  <si>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</si>
  <si>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</si>
  <si>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</si>
  <si>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</si>
  <si>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</si>
  <si>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</si>
  <si>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</si>
  <si>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</si>
  <si>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</si>
  <si>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</si>
  <si>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</si>
  <si>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</si>
  <si>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</si>
  <si>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</si>
  <si>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</si>
  <si>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</si>
  <si>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</si>
  <si>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</si>
  <si>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</si>
  <si>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</si>
  <si>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</si>
  <si>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</si>
  <si>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</si>
  <si>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</si>
  <si>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</si>
  <si>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</si>
  <si>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</si>
  <si>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</si>
  <si>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</si>
  <si>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</si>
  <si>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</si>
  <si>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</si>
  <si>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</si>
  <si>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</si>
  <si>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</si>
  <si>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</si>
  <si>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</si>
  <si>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</si>
  <si>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</si>
  <si>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</si>
  <si>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</si>
  <si>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</si>
  <si>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</si>
  <si>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</si>
  <si>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</si>
  <si>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</si>
  <si>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</si>
  <si>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</si>
  <si>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</si>
  <si>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</si>
  <si>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</si>
  <si>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</si>
  <si>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</si>
  <si>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</si>
  <si>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</si>
  <si>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</si>
  <si>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</si>
  <si>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</si>
  <si>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</si>
  <si>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</si>
  <si>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</si>
  <si>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</si>
  <si>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</si>
  <si>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</si>
  <si>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</si>
  <si>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</si>
  <si>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</si>
  <si>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</si>
  <si>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</si>
  <si>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</si>
  <si>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</si>
  <si>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</si>
  <si>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</si>
  <si>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</si>
  <si>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</si>
  <si>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</si>
  <si>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</si>
  <si>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</si>
  <si>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</si>
  <si>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</si>
  <si>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</si>
  <si>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</si>
  <si>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</si>
  <si>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</si>
  <si>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</si>
  <si>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</si>
  <si>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</si>
  <si>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</si>
  <si>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</si>
  <si>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</si>
  <si>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</si>
  <si>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</si>
  <si>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</si>
  <si>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</si>
  <si>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</si>
  <si>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</si>
  <si>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</si>
  <si>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</si>
  <si>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</si>
  <si>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</si>
  <si>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</si>
  <si>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</si>
  <si>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</si>
  <si>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</si>
  <si>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</si>
  <si>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</si>
  <si>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</si>
  <si>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</si>
  <si>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</si>
  <si>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</si>
  <si>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</si>
  <si>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</si>
  <si>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</si>
  <si>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</si>
  <si>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</si>
  <si>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</si>
  <si>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</si>
  <si>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</si>
  <si>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</si>
  <si>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</si>
  <si>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</si>
  <si>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</si>
  <si>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</si>
  <si>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</si>
  <si>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</si>
  <si>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</si>
  <si>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</si>
  <si>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</si>
  <si>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</si>
  <si>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</si>
  <si>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</si>
  <si>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</si>
  <si>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</si>
  <si>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</si>
  <si>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</si>
  <si>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</si>
  <si>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</si>
  <si>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</si>
  <si>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</si>
  <si>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</si>
  <si>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</si>
  <si>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</si>
  <si>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</si>
  <si>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</si>
  <si>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</si>
  <si>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</si>
  <si>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</si>
  <si>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</si>
  <si>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</si>
  <si>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</si>
  <si>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</si>
  <si>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</si>
  <si>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</si>
  <si>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</si>
  <si>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</si>
  <si>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</si>
  <si>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</si>
  <si>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</si>
  <si>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</si>
  <si>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</si>
  <si>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</si>
  <si>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</si>
  <si>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</si>
  <si>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</si>
  <si>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</si>
  <si>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</si>
  <si>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</si>
  <si>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</si>
  <si>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</si>
  <si>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</si>
  <si>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</si>
  <si>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</si>
  <si>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</si>
  <si>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</si>
  <si>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</si>
  <si>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</si>
  <si>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</si>
  <si>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</si>
  <si>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</si>
  <si>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</si>
  <si>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</si>
  <si>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</si>
  <si>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</si>
  <si>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</si>
  <si>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</si>
  <si>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</si>
  <si>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</si>
  <si>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</si>
  <si>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</si>
  <si>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</si>
  <si>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</si>
  <si>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</si>
  <si>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</si>
  <si>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</si>
  <si>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</si>
  <si>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</si>
  <si>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</si>
  <si>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</si>
  <si>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</si>
  <si>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</si>
  <si>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</si>
  <si>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</si>
  <si>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</si>
  <si>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</si>
  <si>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</si>
  <si>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</si>
  <si>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</si>
  <si>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</si>
  <si>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</si>
  <si>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</si>
  <si>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</si>
  <si>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</si>
  <si>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</si>
  <si>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</si>
  <si>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</si>
  <si>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</si>
  <si>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</si>
  <si>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</si>
  <si>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</si>
  <si>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</si>
  <si>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</si>
  <si>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</si>
  <si>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</si>
  <si>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</si>
  <si>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</si>
  <si>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</si>
  <si>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</si>
  <si>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</si>
  <si>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</si>
  <si>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</si>
  <si>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</si>
  <si>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</si>
  <si>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</si>
  <si>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</si>
  <si>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</si>
  <si>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</si>
  <si>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</si>
  <si>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</si>
  <si>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</si>
  <si>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</si>
  <si>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</si>
  <si>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</si>
  <si>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</si>
  <si>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</si>
  <si>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</si>
  <si>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</si>
  <si>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</si>
  <si>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</si>
  <si>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</si>
  <si>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</si>
  <si>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</si>
  <si>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</si>
  <si>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</si>
  <si>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</si>
  <si>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</si>
  <si>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</si>
  <si>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</si>
  <si>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</si>
  <si>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</si>
  <si>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</si>
  <si>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</si>
  <si>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</si>
  <si>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</si>
  <si>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</si>
  <si>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</si>
  <si>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</si>
  <si>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</si>
  <si>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</si>
  <si>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</si>
  <si>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</si>
  <si>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</si>
  <si>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</si>
  <si>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</si>
  <si>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</si>
  <si>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</si>
  <si>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</si>
  <si>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</si>
  <si>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</si>
  <si>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</si>
  <si>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</si>
  <si>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</si>
  <si>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</si>
  <si>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</si>
  <si>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</si>
  <si>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</si>
  <si>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</si>
  <si>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</si>
  <si>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</si>
  <si>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</si>
  <si>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</si>
  <si>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</si>
  <si>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</si>
  <si>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</si>
  <si>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</si>
  <si>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</si>
  <si>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</si>
  <si>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</si>
  <si>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</si>
  <si>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</si>
  <si>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</si>
  <si>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</si>
  <si>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</si>
  <si>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</si>
  <si>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</si>
  <si>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</si>
  <si>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</si>
  <si>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</si>
  <si>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</si>
  <si>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</si>
  <si>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</si>
  <si>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</si>
  <si>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</si>
  <si>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</si>
  <si>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</si>
  <si>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</si>
  <si>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</si>
  <si>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</si>
  <si>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</si>
  <si>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</si>
  <si>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</si>
  <si>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</si>
  <si>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</si>
  <si>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</si>
  <si>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</si>
  <si>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</si>
  <si>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</si>
  <si>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</si>
  <si>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</si>
  <si>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</si>
  <si>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</si>
  <si>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</si>
  <si>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</si>
  <si>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</si>
  <si>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</si>
  <si>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</si>
  <si>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</si>
  <si>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</si>
  <si>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</si>
  <si>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</si>
  <si>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</si>
  <si>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</si>
  <si>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</si>
  <si>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</si>
  <si>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</si>
  <si>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</si>
  <si>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</si>
  <si>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</si>
  <si>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</si>
  <si>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</si>
  <si>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</si>
  <si>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</si>
  <si>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</si>
  <si>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</si>
  <si>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</si>
  <si>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</si>
  <si>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</si>
  <si>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</si>
  <si>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</si>
  <si>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</si>
  <si>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</si>
  <si>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</si>
  <si>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</si>
  <si>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</si>
  <si>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</si>
  <si>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</si>
  <si>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</si>
  <si>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</si>
  <si>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</si>
  <si>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</si>
  <si>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</si>
  <si>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</si>
  <si>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</si>
  <si>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</si>
  <si>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</si>
  <si>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</si>
  <si>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</si>
  <si>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</si>
  <si>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</si>
  <si>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</si>
  <si>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</si>
  <si>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</si>
  <si>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</si>
  <si>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</si>
  <si>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</si>
  <si>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</si>
  <si>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</si>
  <si>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</si>
  <si>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</si>
  <si>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</si>
  <si>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</si>
  <si>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</si>
  <si>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</si>
  <si>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</si>
  <si>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</si>
  <si>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</si>
  <si>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</si>
  <si>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</si>
  <si>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</si>
  <si>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</si>
  <si>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</si>
  <si>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</si>
  <si>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</si>
  <si>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</si>
  <si>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</si>
  <si>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</si>
  <si>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</si>
  <si>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</si>
  <si>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</si>
  <si>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</si>
  <si>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</si>
  <si>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</si>
  <si>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</si>
  <si>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</si>
  <si>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</si>
  <si>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</si>
  <si>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</si>
  <si>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</si>
  <si>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</si>
  <si>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</si>
  <si>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</si>
  <si>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</si>
  <si>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</si>
  <si>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</si>
  <si>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</si>
  <si>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</si>
  <si>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</si>
  <si>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</si>
  <si>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</si>
  <si>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</si>
  <si>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</si>
  <si>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</si>
  <si>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</si>
  <si>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</si>
  <si>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</si>
  <si>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</si>
  <si>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</si>
  <si>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</si>
  <si>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</si>
  <si>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</si>
  <si>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</si>
  <si>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</si>
  <si>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</si>
  <si>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</si>
  <si>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</si>
  <si>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</si>
  <si>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</si>
  <si>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</si>
  <si>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</si>
  <si>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</si>
  <si>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</si>
  <si>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</si>
  <si>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</si>
  <si>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</si>
  <si>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</si>
  <si>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</si>
  <si>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</si>
  <si>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</si>
  <si>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</si>
  <si>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</si>
  <si>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</si>
  <si>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</si>
  <si>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</si>
  <si>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</si>
  <si>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</si>
  <si>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</si>
  <si>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</si>
  <si>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</si>
  <si>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</si>
  <si>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</si>
  <si>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</si>
  <si>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</si>
  <si>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</si>
  <si>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</si>
  <si>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</si>
  <si>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</si>
  <si>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</si>
  <si>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</si>
  <si>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</si>
  <si>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</si>
  <si>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</si>
  <si>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</si>
  <si>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</si>
  <si>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</si>
  <si>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</si>
  <si>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</si>
  <si>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</si>
  <si>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</si>
  <si>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</si>
  <si>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</si>
  <si>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</si>
  <si>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</si>
  <si>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</si>
  <si>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</si>
  <si>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</si>
  <si>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</si>
  <si>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</si>
  <si>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</si>
  <si>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</si>
  <si>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</si>
  <si>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</si>
  <si>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</si>
  <si>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</si>
  <si>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</si>
  <si>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</si>
  <si>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</si>
  <si>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</si>
  <si>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</si>
  <si>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</si>
  <si>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</si>
  <si>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</si>
  <si>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</si>
  <si>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</si>
  <si>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</si>
  <si>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</si>
  <si>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</si>
  <si>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</si>
  <si>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</si>
  <si>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</si>
  <si>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</si>
  <si>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</si>
  <si>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</si>
  <si>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</si>
  <si>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</si>
  <si>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</si>
  <si>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</si>
  <si>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</si>
  <si>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</si>
  <si>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</si>
  <si>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</si>
  <si>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</si>
  <si>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</si>
  <si>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</si>
  <si>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</si>
  <si>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</si>
  <si>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</si>
  <si>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</si>
  <si>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</si>
  <si>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</si>
  <si>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</si>
  <si>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</si>
  <si>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</si>
  <si>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</si>
  <si>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</si>
  <si>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</si>
  <si>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</si>
  <si>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</si>
  <si>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</si>
  <si>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</si>
  <si>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</si>
  <si>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</si>
  <si>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</si>
  <si>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</si>
  <si>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</si>
  <si>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</si>
  <si>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</si>
  <si>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</si>
  <si>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</si>
  <si>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</si>
  <si>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</si>
  <si>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</si>
  <si>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</si>
  <si>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</si>
  <si>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</si>
  <si>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</si>
  <si>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</si>
  <si>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</si>
  <si>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</si>
  <si>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</si>
  <si>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</si>
  <si>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</si>
  <si>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</si>
  <si>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</si>
  <si>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</si>
  <si>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</si>
  <si>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</si>
  <si>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</si>
  <si>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</si>
  <si>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</si>
  <si>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</si>
  <si>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</si>
  <si>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</si>
  <si>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</si>
  <si>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</si>
  <si>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</si>
  <si>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</si>
  <si>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</si>
  <si>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</si>
  <si>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</si>
  <si>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</si>
  <si>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</si>
  <si>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</si>
  <si>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</si>
  <si>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</si>
  <si>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</si>
  <si>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</si>
  <si>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</si>
  <si>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</si>
  <si>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</si>
  <si>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</si>
  <si>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</si>
  <si>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</si>
  <si>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</si>
  <si>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</si>
  <si>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</si>
  <si>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</si>
  <si>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</si>
  <si>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</si>
  <si>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</si>
  <si>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</si>
  <si>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</si>
  <si>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</si>
  <si>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</si>
  <si>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</si>
  <si>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</si>
  <si>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</si>
  <si>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</si>
  <si>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</si>
  <si>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</si>
  <si>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</si>
  <si>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</si>
  <si>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</si>
  <si>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</si>
  <si>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</si>
  <si>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</si>
  <si>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</si>
  <si>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</si>
  <si>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</si>
  <si>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</si>
  <si>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</si>
  <si>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</si>
  <si>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</si>
  <si>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</si>
  <si>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</si>
  <si>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</si>
  <si>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</si>
  <si>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</si>
  <si>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</si>
  <si>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</si>
  <si>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</si>
  <si>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</si>
  <si>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</si>
  <si>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</si>
  <si>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</si>
  <si>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</si>
  <si>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</si>
  <si>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</si>
  <si>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</si>
  <si>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</si>
  <si>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</si>
  <si>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</si>
  <si>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</si>
  <si>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</si>
  <si>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</si>
  <si>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</si>
  <si>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</si>
  <si>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</si>
  <si>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</si>
  <si>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</si>
  <si>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</si>
  <si>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</si>
  <si>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</si>
  <si>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</si>
  <si>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</si>
  <si>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</si>
  <si>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</si>
  <si>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</si>
  <si>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</si>
  <si>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</si>
  <si>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</si>
  <si>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</si>
  <si>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</si>
  <si>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</si>
  <si>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</si>
  <si>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</si>
  <si>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</si>
  <si>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</si>
  <si>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</si>
  <si>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</si>
  <si>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</si>
  <si>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</si>
  <si>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</si>
  <si>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</si>
  <si>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</si>
  <si>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</si>
  <si>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</si>
  <si>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</si>
  <si>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</si>
  <si>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</si>
  <si>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</si>
  <si>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</si>
  <si>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</si>
  <si>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</si>
  <si>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</si>
  <si>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</si>
  <si>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</si>
  <si>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</si>
  <si>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</si>
  <si>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</si>
  <si>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</si>
  <si>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</si>
  <si>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</si>
  <si>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</si>
  <si>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</si>
  <si>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</si>
  <si>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</si>
  <si>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</si>
  <si>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</si>
  <si>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</si>
  <si>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</si>
  <si>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</si>
  <si>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</si>
  <si>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</si>
  <si>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</si>
  <si>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</si>
  <si>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</si>
  <si>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</si>
  <si>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</si>
  <si>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</si>
  <si>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</si>
  <si>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</si>
  <si>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</si>
  <si>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</si>
  <si>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</si>
  <si>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</si>
  <si>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</si>
  <si>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</si>
  <si>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</si>
  <si>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</si>
  <si>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</si>
  <si>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</si>
  <si>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</si>
  <si>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</si>
  <si>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</si>
  <si>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</si>
  <si>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</si>
  <si>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</si>
  <si>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</si>
  <si>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</si>
  <si>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</si>
  <si>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</si>
  <si>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</si>
  <si>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</si>
  <si>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</si>
  <si>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</si>
  <si>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</si>
  <si>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</si>
  <si>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</si>
  <si>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</si>
  <si>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</si>
  <si>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</si>
  <si>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</si>
  <si>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</si>
  <si>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</si>
  <si>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</si>
  <si>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</si>
  <si>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</si>
  <si>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</si>
  <si>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</si>
  <si>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</si>
  <si>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</si>
  <si>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</si>
  <si>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</si>
  <si>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</si>
  <si>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</si>
  <si>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</si>
  <si>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</si>
  <si>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</si>
  <si>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</si>
  <si>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</si>
  <si>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</si>
  <si>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</si>
  <si>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</si>
  <si>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</si>
  <si>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</si>
  <si>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</si>
  <si>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</si>
  <si>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</si>
  <si>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</si>
  <si>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</si>
  <si>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</si>
  <si>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</si>
  <si>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</si>
  <si>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</si>
  <si>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</si>
  <si>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</si>
  <si>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</si>
  <si>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</si>
  <si>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</si>
  <si>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</si>
  <si>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</si>
  <si>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</si>
  <si>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</si>
  <si>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</si>
  <si>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</si>
  <si>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</si>
  <si>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</si>
  <si>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</si>
  <si>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</si>
  <si>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</si>
  <si>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</si>
  <si>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</si>
  <si>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</si>
  <si>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</si>
  <si>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</si>
  <si>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</si>
  <si>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</si>
  <si>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</si>
  <si>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</si>
  <si>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</si>
  <si>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</si>
  <si>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</si>
  <si>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</si>
  <si>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</si>
  <si>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</si>
  <si>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</si>
  <si>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</si>
  <si>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</si>
  <si>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</si>
  <si>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</si>
  <si>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</si>
  <si>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</si>
  <si>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</si>
  <si>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</si>
  <si>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</si>
  <si>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</si>
  <si>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</si>
  <si>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</si>
  <si>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</si>
  <si>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</si>
  <si>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</si>
  <si>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</si>
  <si>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</si>
  <si>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</si>
  <si>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</si>
  <si>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</si>
  <si>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</si>
  <si>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</si>
  <si>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</si>
  <si>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</si>
  <si>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</si>
  <si>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</si>
  <si>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</si>
  <si>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</si>
  <si>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</si>
  <si>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</si>
  <si>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</si>
  <si>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</si>
  <si>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</si>
  <si>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</si>
  <si>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</si>
  <si>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</si>
  <si>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</si>
  <si>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</si>
  <si>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</si>
  <si>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</si>
  <si>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</si>
  <si>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</si>
  <si>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</si>
  <si>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</si>
  <si>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</si>
  <si>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</si>
  <si>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</si>
  <si>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</si>
  <si>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</si>
  <si>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</si>
  <si>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</si>
  <si>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</si>
  <si>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</si>
  <si>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</si>
  <si>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</si>
  <si>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</si>
  <si>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</si>
  <si>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</si>
  <si>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</si>
  <si>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</si>
  <si>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</si>
  <si>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</si>
  <si>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</si>
  <si>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</si>
  <si>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</si>
  <si>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</si>
  <si>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</si>
  <si>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</si>
  <si>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</si>
  <si>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</si>
  <si>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</si>
  <si>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</si>
  <si>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</si>
  <si>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</si>
  <si>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</si>
  <si>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</si>
  <si>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</si>
  <si>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</si>
  <si>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</si>
  <si>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</si>
  <si>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</si>
  <si>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</si>
  <si>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</si>
  <si>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</si>
  <si>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</si>
  <si>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</si>
  <si>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</si>
  <si>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</si>
  <si>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</si>
  <si>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</si>
  <si>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</si>
  <si>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</si>
  <si>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</si>
  <si>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</si>
  <si>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</si>
  <si>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</si>
  <si>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</si>
  <si>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</si>
  <si>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</si>
  <si>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</si>
  <si>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</si>
  <si>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</si>
  <si>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</si>
  <si>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</si>
  <si>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</si>
  <si>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</si>
  <si>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</si>
  <si>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</si>
  <si>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</si>
  <si>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</si>
  <si>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</si>
  <si>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</si>
  <si>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</si>
  <si>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</si>
  <si>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</si>
  <si>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</si>
  <si>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</si>
  <si>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</si>
  <si>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</si>
  <si>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</si>
  <si>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</si>
  <si>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</si>
  <si>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</si>
  <si>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</si>
  <si>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</si>
  <si>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</si>
  <si>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</si>
  <si>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</si>
  <si>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</si>
  <si>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</si>
  <si>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</si>
  <si>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</si>
  <si>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</si>
  <si>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</si>
  <si>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</si>
  <si>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</si>
  <si>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</si>
  <si>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</si>
  <si>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</si>
  <si>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</si>
  <si>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</si>
  <si>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</si>
  <si>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</si>
  <si>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</si>
  <si>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</si>
  <si>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</si>
  <si>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</si>
  <si>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</si>
  <si>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</si>
  <si>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</si>
  <si>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</si>
  <si>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</si>
  <si>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</si>
  <si>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</si>
  <si>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</si>
  <si>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</si>
  <si>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</si>
  <si>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</si>
  <si>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</si>
  <si>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</si>
  <si>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</si>
  <si>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</si>
  <si>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</si>
  <si>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</si>
  <si>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</si>
  <si>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</si>
  <si>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</si>
  <si>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</si>
  <si>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</si>
  <si>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</si>
  <si>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</si>
  <si>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</si>
  <si>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</si>
  <si>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</si>
  <si>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</si>
  <si>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</si>
  <si>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</si>
  <si>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</si>
  <si>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</si>
  <si>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</si>
  <si>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</si>
  <si>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</si>
  <si>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</si>
  <si>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</si>
  <si>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</si>
  <si>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</si>
  <si>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</si>
  <si>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</si>
  <si>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</si>
  <si>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</si>
  <si>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</si>
  <si>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</si>
  <si>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</si>
  <si>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</si>
  <si>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</si>
  <si>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</si>
  <si>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</si>
  <si>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</si>
  <si>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</si>
  <si>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</si>
  <si>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</si>
  <si>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</si>
  <si>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</si>
  <si>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</si>
  <si>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</si>
  <si>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</si>
  <si>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</si>
  <si>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</si>
  <si>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</si>
  <si>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</si>
  <si>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</si>
  <si>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</si>
  <si>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</si>
  <si>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</si>
  <si>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</si>
  <si>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</si>
  <si>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</si>
  <si>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</si>
  <si>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</si>
  <si>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</si>
  <si>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</si>
  <si>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</si>
  <si>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</si>
  <si>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</si>
  <si>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</si>
  <si>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</si>
  <si>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</si>
  <si>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</si>
  <si>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</si>
  <si>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</si>
  <si>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</si>
  <si>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</si>
  <si>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</si>
  <si>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</si>
  <si>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</si>
  <si>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</si>
  <si>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</si>
  <si>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</si>
  <si>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</si>
  <si>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</si>
  <si>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</si>
  <si>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</si>
  <si>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</si>
  <si>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</si>
  <si>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</si>
  <si>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</si>
  <si>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</si>
  <si>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</si>
  <si>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</si>
  <si>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</si>
  <si>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</si>
  <si>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</si>
  <si>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</si>
  <si>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</si>
  <si>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</si>
  <si>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</si>
  <si>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</si>
  <si>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</si>
  <si>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</si>
  <si>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</si>
  <si>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</si>
  <si>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</si>
  <si>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</si>
  <si>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</si>
  <si>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</si>
  <si>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</si>
  <si>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</si>
  <si>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</si>
  <si>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</si>
  <si>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</si>
  <si>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</si>
  <si>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</si>
  <si>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</si>
  <si>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</si>
  <si>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</si>
  <si>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</si>
  <si>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</si>
  <si>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</si>
  <si>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</si>
  <si>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</si>
  <si>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</si>
  <si>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</si>
  <si>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</si>
  <si>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</si>
  <si>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</si>
  <si>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</si>
  <si>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</si>
  <si>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</si>
  <si>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</si>
  <si>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</si>
  <si>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</si>
  <si>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</si>
  <si>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</si>
  <si>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</si>
  <si>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</si>
  <si>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</si>
  <si>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</si>
  <si>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</si>
  <si>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</si>
  <si>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</si>
  <si>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</si>
  <si>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</si>
  <si>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</si>
  <si>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</si>
  <si>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</si>
  <si>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</si>
  <si>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</si>
  <si>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</si>
  <si>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</si>
  <si>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</si>
  <si>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</si>
  <si>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</si>
  <si>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</si>
  <si>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</si>
  <si>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</si>
  <si>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</si>
  <si>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</si>
  <si>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</si>
  <si>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</si>
  <si>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</si>
  <si>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</si>
  <si>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</si>
  <si>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</si>
  <si>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</si>
  <si>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</si>
  <si>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</si>
  <si>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</si>
  <si>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</si>
  <si>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</si>
  <si>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</si>
  <si>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</si>
  <si>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</si>
  <si>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</si>
  <si>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</si>
  <si>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</si>
  <si>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</si>
  <si>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</si>
  <si>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</si>
  <si>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</si>
  <si>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</si>
  <si>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</si>
  <si>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</si>
  <si>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</si>
  <si>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</si>
  <si>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</si>
  <si>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</si>
  <si>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</si>
  <si>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</si>
  <si>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</si>
  <si>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</si>
  <si>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</si>
  <si>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</si>
  <si>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</si>
  <si>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</si>
  <si>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</si>
  <si>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</si>
  <si>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</si>
  <si>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</si>
  <si>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</si>
  <si>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</si>
  <si>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</si>
  <si>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</si>
  <si>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</si>
  <si>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</si>
  <si>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</si>
  <si>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</si>
  <si>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</si>
  <si>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</si>
  <si>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</si>
  <si>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</si>
  <si>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</si>
  <si>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</si>
  <si>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</si>
  <si>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</si>
  <si>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</si>
  <si>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</si>
  <si>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</si>
  <si>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</si>
  <si>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</si>
  <si>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</si>
  <si>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</si>
  <si>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</si>
  <si>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</si>
  <si>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</si>
  <si>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</si>
  <si>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</si>
  <si>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</si>
  <si>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</si>
  <si>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</si>
  <si>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</si>
  <si>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</si>
  <si>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</si>
  <si>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</si>
  <si>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</si>
  <si>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</si>
  <si>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</si>
  <si>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</si>
  <si>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</si>
  <si>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</si>
  <si>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</si>
  <si>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</si>
  <si>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</si>
  <si>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</si>
  <si>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</si>
  <si>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</si>
  <si>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</si>
  <si>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</si>
  <si>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</si>
  <si>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</si>
  <si>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</si>
  <si>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</si>
  <si>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</si>
  <si>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</si>
  <si>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</si>
  <si>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</si>
  <si>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</si>
  <si>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</si>
  <si>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</si>
  <si>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</si>
  <si>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</si>
  <si>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</si>
  <si>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</si>
  <si>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</si>
  <si>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</si>
  <si>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</si>
  <si>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</si>
  <si>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</si>
  <si>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</si>
  <si>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</si>
  <si>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</si>
  <si>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</si>
  <si>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</si>
  <si>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</si>
  <si>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</si>
  <si>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</si>
  <si>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</si>
  <si>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</si>
  <si>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</si>
  <si>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</si>
  <si>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</si>
  <si>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</si>
  <si>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</si>
  <si>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</si>
  <si>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</si>
  <si>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</si>
  <si>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</si>
  <si>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</si>
  <si>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</si>
  <si>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</si>
  <si>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</si>
  <si>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</si>
  <si>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</si>
  <si>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</si>
  <si>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</si>
  <si>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</si>
  <si>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</si>
  <si>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</si>
  <si>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</si>
  <si>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</si>
  <si>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</si>
  <si>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</si>
  <si>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</si>
  <si>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</si>
  <si>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</si>
  <si>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</si>
  <si>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</si>
  <si>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</si>
  <si>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</si>
  <si>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</si>
  <si>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</si>
  <si>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</si>
  <si>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</si>
  <si>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</si>
  <si>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</si>
  <si>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</si>
  <si>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</si>
  <si>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</si>
  <si>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</si>
  <si>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</si>
  <si>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</si>
  <si>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</si>
  <si>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</si>
  <si>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</si>
  <si>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</si>
  <si>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</si>
  <si>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</si>
  <si>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</si>
  <si>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</si>
  <si>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</si>
  <si>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</si>
  <si>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</si>
  <si>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</si>
  <si>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</si>
  <si>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</si>
  <si>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</si>
  <si>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</si>
  <si>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</si>
  <si>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</si>
  <si>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</si>
  <si>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</si>
  <si>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</si>
  <si>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</si>
  <si>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</si>
  <si>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</si>
  <si>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</si>
  <si>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</si>
  <si>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</si>
  <si>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</si>
  <si>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</si>
  <si>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</si>
  <si>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</si>
  <si>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</si>
  <si>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</si>
  <si>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</si>
  <si>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</si>
  <si>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</si>
  <si>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</si>
  <si>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</si>
  <si>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</si>
  <si>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</si>
  <si>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</si>
  <si>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</si>
  <si>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</si>
  <si>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</si>
  <si>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</si>
  <si>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</si>
  <si>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</si>
  <si>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</si>
  <si>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</si>
  <si>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</si>
  <si>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</si>
  <si>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</si>
  <si>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</si>
  <si>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</si>
  <si>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</si>
  <si>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</si>
  <si>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</si>
  <si>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</si>
  <si>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</si>
  <si>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</si>
  <si>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</si>
  <si>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</si>
  <si>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</si>
  <si>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</si>
  <si>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</si>
  <si>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</si>
  <si>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</si>
  <si>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</si>
  <si>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</si>
  <si>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</si>
  <si>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</si>
  <si>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</si>
  <si>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</si>
  <si>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</si>
  <si>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</si>
  <si>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</si>
  <si>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</si>
  <si>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</si>
  <si>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</si>
  <si>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</si>
  <si>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</si>
  <si>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</si>
  <si>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</si>
  <si>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</si>
  <si>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</si>
  <si>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</si>
  <si>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</si>
  <si>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</si>
  <si>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</si>
  <si>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</si>
  <si>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</si>
  <si>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</si>
  <si>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</si>
  <si>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</si>
  <si>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</si>
  <si>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</si>
  <si>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</si>
  <si>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</si>
  <si>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</si>
  <si>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</si>
  <si>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</si>
  <si>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</si>
  <si>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</si>
  <si>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</si>
  <si>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</si>
  <si>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</si>
  <si>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</si>
  <si>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</si>
  <si>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</si>
  <si>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</si>
  <si>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</si>
  <si>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</si>
  <si>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</si>
  <si>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</si>
  <si>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</si>
  <si>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</si>
  <si>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</si>
  <si>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</si>
  <si>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</si>
  <si>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</si>
  <si>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</si>
  <si>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</si>
  <si>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</si>
  <si>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</si>
  <si>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</si>
  <si>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</si>
  <si>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</si>
  <si>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</si>
  <si>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</si>
  <si>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</si>
  <si>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</si>
  <si>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</si>
  <si>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</si>
  <si>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</si>
  <si>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</si>
  <si>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</si>
  <si>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</si>
  <si>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</si>
  <si>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</si>
  <si>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</si>
  <si>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</si>
  <si>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</si>
  <si>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</si>
  <si>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</si>
  <si>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</si>
  <si>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</si>
  <si>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</si>
  <si>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</si>
  <si>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</si>
  <si>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</si>
  <si>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</si>
  <si>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</si>
  <si>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</si>
  <si>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</si>
  <si>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</si>
  <si>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</si>
  <si>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</si>
  <si>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</si>
  <si>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</si>
  <si>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</si>
  <si>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</si>
  <si>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</si>
  <si>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</si>
  <si>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</si>
  <si>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</si>
  <si>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</si>
  <si>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</si>
  <si>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</si>
  <si>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</si>
  <si>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</si>
  <si>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</si>
  <si>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</si>
  <si>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</si>
  <si>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</si>
  <si>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</si>
  <si>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</si>
  <si>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</si>
  <si>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</si>
  <si>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</si>
  <si>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</si>
  <si>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</si>
  <si>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</si>
  <si>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</si>
  <si>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</si>
  <si>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</si>
  <si>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</si>
  <si>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</si>
  <si>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</si>
  <si>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</si>
  <si>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</si>
  <si>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</si>
  <si>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</si>
  <si>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</si>
  <si>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</si>
  <si>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</si>
  <si>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</si>
  <si>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</si>
  <si>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</si>
  <si>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</si>
  <si>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</si>
  <si>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</si>
  <si>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</si>
  <si>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</si>
  <si>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</si>
  <si>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</si>
  <si>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</si>
  <si>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</si>
  <si>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</si>
  <si>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</si>
  <si>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</si>
  <si>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</si>
  <si>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</si>
  <si>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</si>
  <si>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</si>
  <si>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</si>
  <si>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</si>
  <si>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</si>
  <si>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</si>
  <si>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</si>
  <si>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</si>
  <si>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</si>
  <si>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</si>
  <si>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</si>
  <si>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</si>
  <si>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</si>
  <si>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</si>
  <si>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</si>
  <si>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</si>
  <si>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</si>
  <si>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</si>
  <si>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</si>
  <si>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</si>
  <si>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</si>
  <si>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</si>
  <si>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</si>
  <si>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</si>
  <si>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</si>
  <si>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</si>
  <si>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</si>
  <si>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</si>
  <si>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</si>
  <si>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</si>
  <si>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</si>
  <si>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</si>
  <si>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</si>
  <si>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</si>
  <si>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</si>
  <si>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</si>
  <si>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</si>
  <si>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</si>
  <si>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</si>
  <si>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</si>
  <si>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</si>
  <si>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</si>
  <si>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</si>
  <si>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</si>
  <si>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</si>
  <si>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</si>
  <si>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</si>
  <si>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</si>
  <si>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</si>
  <si>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</si>
  <si>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</si>
  <si>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</si>
  <si>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</si>
  <si>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</si>
  <si>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</si>
  <si>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</si>
  <si>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</si>
  <si>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</si>
  <si>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</si>
  <si>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</si>
  <si>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</si>
  <si>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</si>
  <si>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</si>
  <si>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</si>
  <si>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</si>
  <si>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</si>
  <si>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</si>
  <si>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</si>
  <si>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</si>
  <si>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</si>
  <si>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</si>
  <si>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</si>
  <si>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</si>
  <si>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</si>
  <si>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</si>
  <si>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</si>
  <si>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</si>
  <si>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</si>
  <si>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</si>
  <si>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</si>
  <si>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</si>
  <si>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</si>
  <si>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</si>
  <si>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</si>
  <si>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</si>
  <si>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</si>
  <si>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</si>
  <si>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</si>
  <si>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</si>
  <si>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</si>
  <si>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</si>
  <si>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</si>
  <si>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</si>
  <si>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</si>
  <si>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</si>
  <si>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</si>
  <si>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</si>
  <si>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</si>
  <si>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</si>
  <si>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</si>
  <si>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</si>
  <si>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</si>
  <si>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</si>
  <si>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</si>
  <si>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</si>
  <si>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</si>
  <si>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</si>
  <si>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</si>
  <si>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</si>
  <si>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</si>
  <si>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</si>
  <si>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</si>
  <si>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</si>
  <si>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</si>
  <si>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</si>
  <si>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</si>
  <si>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</si>
  <si>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</si>
  <si>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</si>
  <si>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</si>
  <si>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</si>
  <si>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</si>
  <si>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</si>
  <si>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</si>
  <si>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</si>
  <si>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</si>
  <si>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</si>
  <si>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</si>
  <si>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</si>
  <si>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</si>
  <si>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</si>
  <si>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</si>
  <si>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</si>
  <si>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</si>
  <si>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</si>
  <si>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</si>
  <si>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</si>
  <si>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</si>
  <si>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</si>
  <si>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</si>
  <si>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</si>
  <si>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</si>
  <si>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</si>
  <si>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</si>
  <si>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</si>
  <si>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</si>
  <si>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</si>
  <si>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</si>
  <si>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</si>
  <si>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</si>
  <si>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</si>
  <si>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</si>
  <si>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</si>
  <si>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</si>
  <si>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</si>
  <si>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</si>
  <si>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</si>
  <si>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</si>
  <si>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</si>
  <si>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</si>
  <si>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</si>
  <si>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</si>
  <si>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</si>
  <si>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</si>
  <si>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</si>
  <si>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</si>
  <si>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</si>
  <si>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</si>
  <si>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</si>
  <si>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</si>
  <si>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</si>
  <si>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</si>
  <si>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</si>
  <si>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</si>
  <si>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</si>
  <si>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</si>
  <si>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</si>
  <si>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</si>
  <si>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</si>
  <si>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</si>
  <si>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</si>
  <si>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</si>
  <si>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</si>
  <si>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</si>
  <si>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</si>
  <si>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</si>
  <si>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</si>
  <si>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</si>
  <si>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</si>
  <si>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</si>
  <si>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</si>
  <si>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</si>
  <si>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</si>
  <si>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</si>
  <si>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</si>
  <si>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</si>
  <si>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</si>
  <si>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</si>
  <si>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</si>
  <si>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</si>
  <si>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</si>
  <si>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</si>
  <si>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</si>
  <si>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</si>
  <si>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</si>
  <si>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</si>
  <si>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</si>
  <si>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</si>
  <si>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</si>
  <si>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</si>
  <si>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</si>
  <si>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</si>
  <si>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</si>
  <si>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</si>
  <si>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</si>
  <si>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</si>
  <si>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</si>
  <si>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</si>
  <si>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</si>
  <si>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</si>
  <si>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</si>
  <si>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</si>
  <si>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</si>
  <si>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</si>
  <si>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</si>
  <si>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</si>
  <si>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</si>
  <si>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</si>
  <si>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</si>
  <si>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</si>
  <si>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</si>
  <si>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</si>
  <si>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</si>
  <si>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</si>
  <si>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</si>
  <si>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</si>
  <si>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</si>
  <si>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</si>
  <si>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</si>
  <si>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</si>
  <si>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</si>
  <si>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</si>
  <si>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</si>
  <si>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</si>
  <si>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</si>
  <si>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</si>
  <si>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</si>
  <si>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</si>
  <si>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</si>
  <si>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</si>
  <si>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</si>
  <si>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</si>
  <si>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</si>
  <si>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</si>
  <si>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</si>
  <si>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</si>
  <si>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</si>
  <si>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</si>
  <si>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</si>
  <si>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</si>
  <si>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</si>
  <si>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</si>
  <si>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</si>
  <si>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</si>
  <si>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</si>
  <si>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</si>
  <si>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</si>
  <si>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</si>
  <si>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</si>
  <si>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</si>
  <si>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</si>
  <si>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</si>
  <si>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</si>
  <si>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</si>
  <si>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</si>
  <si>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</si>
  <si>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</si>
  <si>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</si>
  <si>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</si>
  <si>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</si>
  <si>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</si>
  <si>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</si>
  <si>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</si>
  <si>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</si>
  <si>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</si>
  <si>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</si>
  <si>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</si>
  <si>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</si>
  <si>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</si>
  <si>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</si>
  <si>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</si>
  <si>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</si>
  <si>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</si>
  <si>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</si>
  <si>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</si>
  <si>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</si>
  <si>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</si>
  <si>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</si>
  <si>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</si>
  <si>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</si>
  <si>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</si>
  <si>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</si>
  <si>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</si>
  <si>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</si>
  <si>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</si>
  <si>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</si>
  <si>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</si>
  <si>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</si>
  <si>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</si>
  <si>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</si>
  <si>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</si>
  <si>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</si>
  <si>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</si>
  <si>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</si>
  <si>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</si>
  <si>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</si>
  <si>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</si>
  <si>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</si>
  <si>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</si>
  <si>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</si>
  <si>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</si>
  <si>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</si>
  <si>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</si>
  <si>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</si>
  <si>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</si>
  <si>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</si>
  <si>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</si>
  <si>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</si>
  <si>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</si>
  <si>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</si>
  <si>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</si>
  <si>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</si>
  <si>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</si>
  <si>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</si>
  <si>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</si>
  <si>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</si>
  <si>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</si>
  <si>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</si>
  <si>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</si>
  <si>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</si>
  <si>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</si>
  <si>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</si>
  <si>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</si>
  <si>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</si>
  <si>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</si>
  <si>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</si>
  <si>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</si>
  <si>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</si>
  <si>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</si>
  <si>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</si>
  <si>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</si>
  <si>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</si>
  <si>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</si>
  <si>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</si>
  <si>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</si>
  <si>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</si>
  <si>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</si>
  <si>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</si>
  <si>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</si>
  <si>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</si>
  <si>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</si>
  <si>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</si>
  <si>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</si>
  <si>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</si>
  <si>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</si>
  <si>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</si>
  <si>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</si>
  <si>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</si>
  <si>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</si>
  <si>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</si>
  <si>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</si>
  <si>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</si>
  <si>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</si>
  <si>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</si>
  <si>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</si>
  <si>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</si>
  <si>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</si>
  <si>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</si>
  <si>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</si>
  <si>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</si>
  <si>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</si>
  <si>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</si>
  <si>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</si>
  <si>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</si>
  <si>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</si>
  <si>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</si>
  <si>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</si>
  <si>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</si>
  <si>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</si>
  <si>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</si>
  <si>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</si>
  <si>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</si>
  <si>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</si>
  <si>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</si>
  <si>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</si>
  <si>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</si>
  <si>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</si>
  <si>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</si>
  <si>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</si>
  <si>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</si>
  <si>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</si>
  <si>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</si>
  <si>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</si>
  <si>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</si>
  <si>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</si>
  <si>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</si>
  <si>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</si>
  <si>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</si>
  <si>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</si>
  <si>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</si>
  <si>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</si>
  <si>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</si>
  <si>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</si>
  <si>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</si>
  <si>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</si>
  <si>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</si>
  <si>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</si>
  <si>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</si>
  <si>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</si>
  <si>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</si>
  <si>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</si>
  <si>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</si>
  <si>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</si>
  <si>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</si>
  <si>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</si>
  <si>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</si>
  <si>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</si>
  <si>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</si>
  <si>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</si>
  <si>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</si>
  <si>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</si>
  <si>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</si>
  <si>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</si>
  <si>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</si>
  <si>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</si>
  <si>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</si>
  <si>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</si>
  <si>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</si>
  <si>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</si>
  <si>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</si>
  <si>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</si>
  <si>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</si>
  <si>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</si>
  <si>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</si>
  <si>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</si>
  <si>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</si>
  <si>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</si>
  <si>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</si>
  <si>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</si>
  <si>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</si>
  <si>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</si>
  <si>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</si>
  <si>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</si>
  <si>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</si>
  <si>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</si>
  <si>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</si>
  <si>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</si>
  <si>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</si>
  <si>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</si>
  <si>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</si>
  <si>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</si>
  <si>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</si>
  <si>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</si>
  <si>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</si>
  <si>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</si>
  <si>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</si>
  <si>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</si>
  <si>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</si>
  <si>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</si>
  <si>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</si>
  <si>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</si>
  <si>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</si>
  <si>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</si>
  <si>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</si>
  <si>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</si>
  <si>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</si>
  <si>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</si>
  <si>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</si>
  <si>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</si>
  <si>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</si>
  <si>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</si>
  <si>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</si>
  <si>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</si>
  <si>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</si>
  <si>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</si>
  <si>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</si>
  <si>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</si>
  <si>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</si>
  <si>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</si>
  <si>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</si>
  <si>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</si>
  <si>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</si>
  <si>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</si>
  <si>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</si>
  <si>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</si>
  <si>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</si>
  <si>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</si>
  <si>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</si>
  <si>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</si>
  <si>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</si>
  <si>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</si>
  <si>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</si>
  <si>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</si>
  <si>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</si>
  <si>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</si>
  <si>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</si>
  <si>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</si>
  <si>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</si>
  <si>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</si>
  <si>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</si>
  <si>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</si>
  <si>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</si>
  <si>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</si>
  <si>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</si>
  <si>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</si>
  <si>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</si>
  <si>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</si>
  <si>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</si>
  <si>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</si>
  <si>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</si>
  <si>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</si>
  <si>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</si>
  <si>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</si>
  <si>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</si>
  <si>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</si>
  <si>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</si>
  <si>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</si>
  <si>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</si>
  <si>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</si>
  <si>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</si>
  <si>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</si>
  <si>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</si>
  <si>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</si>
  <si>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</si>
  <si>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</si>
  <si>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</si>
  <si>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</si>
  <si>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</si>
  <si>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</si>
  <si>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</si>
  <si>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</si>
  <si>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</si>
  <si>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</si>
  <si>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</si>
  <si>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</si>
  <si>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</si>
  <si>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</si>
  <si>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</si>
  <si>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</si>
  <si>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</si>
  <si>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</si>
  <si>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</si>
  <si>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</si>
  <si>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</si>
  <si>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</si>
  <si>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</si>
  <si>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</si>
  <si>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</si>
  <si>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</si>
  <si>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</si>
  <si>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</si>
  <si>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</si>
  <si>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</si>
  <si>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</si>
  <si>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</si>
  <si>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</si>
  <si>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</si>
  <si>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</si>
  <si>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</si>
  <si>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</si>
  <si>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</si>
  <si>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</si>
  <si>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</si>
  <si>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</si>
  <si>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</si>
  <si>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</si>
  <si>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</si>
  <si>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</si>
  <si>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</si>
  <si>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</si>
  <si>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</si>
  <si>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</si>
  <si>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</si>
  <si>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</si>
  <si>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</si>
  <si>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</si>
  <si>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</si>
  <si>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</si>
  <si>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</si>
  <si>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</si>
  <si>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</si>
  <si>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</si>
  <si>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</si>
  <si>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</si>
  <si>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</si>
  <si>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</si>
  <si>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</si>
  <si>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</si>
  <si>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</si>
  <si>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</si>
  <si>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</si>
  <si>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</si>
  <si>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</si>
  <si>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</si>
  <si>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</si>
  <si>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</si>
  <si>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</si>
  <si>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</si>
  <si>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</si>
  <si>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</si>
  <si>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</si>
  <si>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</si>
  <si>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</si>
  <si>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</si>
  <si>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</si>
  <si>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</si>
  <si>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</si>
  <si>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</si>
  <si>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</si>
  <si>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</si>
  <si>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</si>
  <si>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</si>
  <si>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</si>
  <si>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</si>
  <si>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</si>
  <si>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</si>
  <si>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</si>
  <si>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</si>
  <si>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</si>
  <si>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</si>
  <si>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</si>
  <si>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</si>
  <si>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</si>
  <si>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</si>
  <si>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</si>
  <si>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</si>
  <si>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</si>
  <si>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</si>
  <si>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</si>
  <si>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</si>
  <si>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</si>
  <si>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</si>
  <si>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</si>
  <si>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</si>
  <si>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</si>
  <si>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</si>
  <si>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</si>
  <si>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</si>
  <si>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</si>
  <si>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</si>
  <si>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</si>
  <si>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</si>
  <si>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</si>
  <si>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</si>
  <si>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</si>
  <si>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</si>
  <si>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</si>
  <si>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Organizácia podujatia.
Názov podujatia: Medzinárodný tréningový tábor Zemplínska šírava 2025.
Miesto konania: Zemplínska šírava
Termín konania: 17. – 22.8.2025
Počet aktívnych účastníkov: 46</t>
  </si>
  <si>
    <t>Mzdy a odmeny trénerov a športových odborníkov zapísaných v ISŠ: 2x 500,-€</t>
  </si>
  <si>
    <t>Mgr. Gabriel Čopák, Mgr. Dominika Kincelová</t>
  </si>
  <si>
    <t>Športové pomôcky využité v rámci športového tábora: Kimoná pre účastníkov – 24 kusov</t>
  </si>
  <si>
    <t>m - 53 ročník Grand Prix Michalovce v judo</t>
  </si>
  <si>
    <t>Športové pomôcky využité v rámci športového tábora: Sada pre skupinové meranie tepovej frekvencie POLAR TEAM MULTISPORT COACH</t>
  </si>
  <si>
    <t>Prenájom priestorov: prenájom športoviska – plážové ihrisko na rozloženie žinenky</t>
  </si>
  <si>
    <t>ubytovanie a strava pre účastníkov turnaja</t>
  </si>
  <si>
    <t>Mgr. Dominika Kincelová</t>
  </si>
  <si>
    <t>54 704 464</t>
  </si>
  <si>
    <t>KMS trade s.r.o.</t>
  </si>
  <si>
    <t>45 678 499</t>
  </si>
  <si>
    <t>W8 sport group s.r.o.</t>
  </si>
  <si>
    <t>36 684 228</t>
  </si>
  <si>
    <t>Hotel Glamour s.r.o.</t>
  </si>
  <si>
    <t>FD25035</t>
  </si>
  <si>
    <t>FD25042</t>
  </si>
  <si>
    <t>36684228</t>
  </si>
  <si>
    <t>FD25041</t>
  </si>
  <si>
    <t>FD25034</t>
  </si>
  <si>
    <t>H.S.H Sport s.r.o.</t>
  </si>
  <si>
    <t>61853062</t>
  </si>
  <si>
    <t xml:space="preserve">Organizácia podujatia.
Názov podujatia: 53. ročník Grand Prix Michalovce v judo
Miesto konania: Michalovce
Termín konania: 31.5 -. 1.6.2025
Počet aktívnych účastníkov: 600
Počet krajín: 15 </t>
  </si>
  <si>
    <t>1018225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</si>
</sst>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0" xfId="0" applyNumberFormat="1" applyFont="1" applyFill="1" applyAlignment="1" applyProtection="1">
      <alignment horizontal="left" vertical="top" wrapText="1"/>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0" dropStyle="combo" dx="21" fmlaLink="$B$102" fmlaRange="Adr!$B$2:$B$237" noThreeD="1" sel="206" val="1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us\Downloads\Zo&#353;it1.xlsx" TargetMode="External"/><Relationship Id="rId1" Type="http://schemas.openxmlformats.org/officeDocument/2006/relationships/externalLinkPath" Target="/Users/asus/Downloads/Zo&#353;i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árok1"/>
    </sheetNames>
    <sheetDataSet>
      <sheetData sheetId="0">
        <row r="8">
          <cell r="C8">
            <v>82025083</v>
          </cell>
        </row>
        <row r="9">
          <cell r="C9">
            <v>250072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abSelected="1"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1352</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5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Športový klub ZEMPLÍN Michalovce - oddiel Judo, o.z., Športová 3830/31, Michalovce, 071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1"/>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31997449</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topLeftCell="B1"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2" sqref="C12"/>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Športový klub ZEMPLÍN Michalovce - oddiel Judo, o.z.</v>
      </c>
      <c r="C3" s="338"/>
      <c r="D3" s="338"/>
      <c r="G3" s="252">
        <v>45747</v>
      </c>
    </row>
    <row r="4" spans="1:7" ht="13.8" x14ac:dyDescent="0.25">
      <c r="A4" s="30" t="s">
        <v>313</v>
      </c>
      <c r="B4" s="29" t="str">
        <f>RIGHT("0000"&amp;INDEX(Adr!A:A,Doklady!B102+1),8)</f>
        <v>31997449</v>
      </c>
      <c r="G4" s="252">
        <v>45777</v>
      </c>
    </row>
    <row r="5" spans="1:7" ht="13.8" x14ac:dyDescent="0.25">
      <c r="A5" s="30" t="s">
        <v>314</v>
      </c>
      <c r="B5" s="29" t="str">
        <f>INDEX(Adr!D:D,Doklady!B102+1)&amp;", "&amp;INDEX(Adr!E:E,Doklady!B102+1)</f>
        <v>Športová 3830/31, Michalovce</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5000</v>
      </c>
      <c r="G10" s="252">
        <v>45961</v>
      </c>
    </row>
    <row r="11" spans="1:7" ht="13.8" x14ac:dyDescent="0.25">
      <c r="A11" s="133" t="s">
        <v>319</v>
      </c>
      <c r="B11" s="134" t="s">
        <v>320</v>
      </c>
      <c r="C11" s="175">
        <f>+Spolu!C11</f>
        <v>0</v>
      </c>
      <c r="G11" s="252">
        <v>45991</v>
      </c>
    </row>
    <row r="12" spans="1:7" ht="13.8" x14ac:dyDescent="0.25">
      <c r="A12" s="133" t="s">
        <v>321</v>
      </c>
      <c r="B12" s="134" t="s">
        <v>322</v>
      </c>
      <c r="C12" s="175">
        <v>4500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9500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9"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INDEX(Adr!B2:B242,Doklady!B102)</f>
        <v>Športový klub ZEMPLÍN Michalovce - oddiel Judo, o.z.</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31997449</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Športová 3830/31, Michalovce, 071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5000</v>
      </c>
      <c r="D10" s="126">
        <f>C10-E10</f>
        <v>5000</v>
      </c>
      <c r="E10" s="357">
        <f>SUMIF(K:K,A10,I:I)</f>
        <v>0</v>
      </c>
      <c r="F10" s="358"/>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x14ac:dyDescent="0.3">
      <c r="A12" s="69" t="s">
        <v>321</v>
      </c>
      <c r="B12" s="70" t="s">
        <v>322</v>
      </c>
      <c r="C12" s="126">
        <f>SUMIF(FP!J:J,Doklady!$B$1&amp;A12,FP!D:D)</f>
        <v>4500</v>
      </c>
      <c r="D12" s="126">
        <f>C12-E12</f>
        <v>4500</v>
      </c>
      <c r="E12" s="357">
        <f>SUMIF(K:K,A12,I:I)</f>
        <v>0</v>
      </c>
      <c r="F12" s="358"/>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5000</v>
      </c>
      <c r="T28" s="86"/>
    </row>
    <row r="29" spans="1:20" x14ac:dyDescent="0.2">
      <c r="A29" s="115" t="s">
        <v>362</v>
      </c>
      <c r="B29" s="346" t="s">
        <v>363</v>
      </c>
      <c r="C29" s="347"/>
      <c r="D29" s="347"/>
      <c r="E29" s="347"/>
      <c r="F29" s="347"/>
      <c r="G29" s="347"/>
      <c r="H29" s="348"/>
      <c r="I29" s="73">
        <f>SUMIF(FP!I:I,Doklady!$B$1&amp;A29,FP!D:D)</f>
        <v>4500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m</v>
      </c>
      <c r="B54" s="119" t="str">
        <f>Doklady!H2</f>
        <v>53 ročník Grand Prix Michalovce v judo</v>
      </c>
      <c r="C54" s="73">
        <f>IF(A54&lt;&gt;"",INDEX(FP!D:D,Doklady!B$2+(ROW()-53)),"")</f>
        <v>4500</v>
      </c>
      <c r="D54" s="73">
        <f>IF(A54&lt;&gt;"",Doklady!I2-Doklady!J2,"")</f>
        <v>4500</v>
      </c>
      <c r="E54" s="73">
        <f>IF(A54&lt;&gt;"",MIN(D54,C54)*Doklady!C2/(1-Doklady!C2),"")</f>
        <v>0</v>
      </c>
      <c r="F54" s="71">
        <f>IF(A54&lt;&gt;"",Doklady!J2,"")</f>
        <v>0</v>
      </c>
      <c r="G54" s="73">
        <f t="shared" ref="G54:G117" si="0">+IFERROR(HLOOKUP(IF(RIGHT(B54,15)="bežné transfery",LEFT(B54,LEN(B54)-18),0),$J$40:$K$42,3,0),MIN(C54,D54))</f>
        <v>4500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9500</v>
      </c>
      <c r="D130" s="228">
        <f t="shared" ref="D130:I130" si="9">SUM(D53:D129)</f>
        <v>9500</v>
      </c>
      <c r="E130" s="228">
        <f t="shared" si="9"/>
        <v>0</v>
      </c>
      <c r="F130" s="228">
        <f t="shared" si="9"/>
        <v>0</v>
      </c>
      <c r="G130" s="228">
        <f t="shared" si="9"/>
        <v>9500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2" t="s">
        <v>3009</v>
      </c>
      <c r="E140" s="372"/>
      <c r="F140" s="372"/>
      <c r="G140" s="372"/>
      <c r="H140" s="372"/>
      <c r="I140" s="372"/>
      <c r="J140" s="85"/>
    </row>
    <row r="141" spans="1:26" ht="68.25" customHeight="1" x14ac:dyDescent="0.25">
      <c r="A141" s="9"/>
      <c r="B141" s="390"/>
      <c r="C141" s="214"/>
      <c r="D141" s="356" t="s">
        <v>393</v>
      </c>
      <c r="E141" s="356"/>
      <c r="F141" s="356"/>
      <c r="G141" s="356"/>
      <c r="H141" s="356"/>
      <c r="I141" s="356"/>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Q100" sqref="Q10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31997449</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m - 53 ročník Grand Prix Michalovce v judo</v>
      </c>
      <c r="B2" s="237">
        <f>MATCH(B1,FP!A:A,0)</f>
        <v>470</v>
      </c>
      <c r="C2" s="233">
        <f>IF(ROW()&lt;=B$3,INDEX(FP!E:E,B$2+ROW()-1),"")</f>
        <v>0</v>
      </c>
      <c r="D2" s="234" t="str">
        <f>IF(ROW()&lt;=B$3,INDEX(FP!F:F,B$2+ROW()-1),"")</f>
        <v>m</v>
      </c>
      <c r="E2" s="234"/>
      <c r="F2" s="234" t="str">
        <f>IF(ROW()&lt;=B$3,INDEX(FP!G:G,B$2+ROW()-1),"")</f>
        <v>026 03</v>
      </c>
      <c r="G2" s="234"/>
      <c r="H2" s="235" t="str">
        <f>IF(ROW()&lt;=B$3,INDEX(FP!C:C,B$2+ROW()-1),"")</f>
        <v>53 ročník Grand Prix Michalovce v judo</v>
      </c>
      <c r="I2" s="236">
        <f t="shared" si="0"/>
        <v>4500</v>
      </c>
      <c r="J2" s="236">
        <f t="shared" si="1"/>
        <v>0</v>
      </c>
      <c r="K2" s="110" t="str">
        <f>$A2</f>
        <v>m - 53 ročník Grand Prix Michalovce v judo</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m - 53 ročník Grand Prix Michalovce v judo</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206</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61.2" x14ac:dyDescent="0.25">
      <c r="A107" s="14" t="s">
        <v>3000</v>
      </c>
      <c r="B107" s="14"/>
      <c r="C107" s="14"/>
      <c r="D107" s="16"/>
      <c r="E107" s="16"/>
      <c r="F107" s="14" t="s">
        <v>3001</v>
      </c>
      <c r="G107" s="14"/>
      <c r="H107" s="14"/>
      <c r="I107" s="15"/>
      <c r="J107" s="77"/>
      <c r="K107" s="92"/>
    </row>
    <row r="108" spans="1:25" ht="20.399999999999999" x14ac:dyDescent="0.25">
      <c r="A108" s="14" t="s">
        <v>3000</v>
      </c>
      <c r="B108" s="14"/>
      <c r="C108" s="14"/>
      <c r="D108" s="16">
        <v>45985</v>
      </c>
      <c r="E108" s="16"/>
      <c r="F108" s="14" t="s">
        <v>3002</v>
      </c>
      <c r="G108" s="14"/>
      <c r="H108" s="14" t="s">
        <v>3003</v>
      </c>
      <c r="I108" s="15">
        <v>955</v>
      </c>
      <c r="J108" s="77"/>
      <c r="K108" s="92"/>
    </row>
    <row r="109" spans="1:25" ht="40.799999999999997" x14ac:dyDescent="0.25">
      <c r="A109" s="14" t="s">
        <v>3000</v>
      </c>
      <c r="B109" s="14" t="s">
        <v>3016</v>
      </c>
      <c r="C109" s="14" t="s">
        <v>3018</v>
      </c>
      <c r="D109" s="16">
        <v>45880</v>
      </c>
      <c r="E109" s="16">
        <v>45965</v>
      </c>
      <c r="F109" s="14" t="s">
        <v>3006</v>
      </c>
      <c r="G109" s="14" t="s">
        <v>3022</v>
      </c>
      <c r="H109" s="14" t="s">
        <v>3021</v>
      </c>
      <c r="I109" s="15">
        <v>1845</v>
      </c>
      <c r="J109" s="77"/>
      <c r="K109" s="92"/>
    </row>
    <row r="110" spans="1:25" ht="20.399999999999999" x14ac:dyDescent="0.25">
      <c r="A110" s="14" t="s">
        <v>3000</v>
      </c>
      <c r="B110" s="14" t="s">
        <v>3017</v>
      </c>
      <c r="C110" s="14">
        <f>[1]Hárok1!$C$9</f>
        <v>250072</v>
      </c>
      <c r="D110" s="16">
        <v>45965</v>
      </c>
      <c r="E110" s="16"/>
      <c r="F110" s="14" t="s">
        <v>3007</v>
      </c>
      <c r="G110" s="14" t="s">
        <v>3010</v>
      </c>
      <c r="H110" s="14" t="s">
        <v>3011</v>
      </c>
      <c r="I110" s="15">
        <v>1000</v>
      </c>
      <c r="J110" s="77"/>
      <c r="K110" s="92"/>
    </row>
    <row r="111" spans="1:25" ht="20.399999999999999" x14ac:dyDescent="0.25">
      <c r="A111" s="14" t="s">
        <v>3000</v>
      </c>
      <c r="B111" s="14" t="s">
        <v>3019</v>
      </c>
      <c r="C111" s="14">
        <f>[1]Hárok1!$C$8</f>
        <v>82025083</v>
      </c>
      <c r="D111" s="16">
        <v>45965</v>
      </c>
      <c r="E111" s="16"/>
      <c r="F111" s="14" t="s">
        <v>3004</v>
      </c>
      <c r="G111" s="14" t="s">
        <v>3012</v>
      </c>
      <c r="H111" s="14" t="s">
        <v>3013</v>
      </c>
      <c r="I111" s="15">
        <v>1200</v>
      </c>
      <c r="J111" s="77"/>
      <c r="K111" s="92"/>
    </row>
    <row r="112" spans="1:25" ht="13.2" x14ac:dyDescent="0.25">
      <c r="A112" s="14"/>
      <c r="B112" s="14"/>
      <c r="C112" s="14"/>
      <c r="D112" s="16"/>
      <c r="E112" s="16"/>
      <c r="F112" s="14"/>
      <c r="G112" s="14"/>
      <c r="H112" s="14"/>
      <c r="I112" s="15"/>
      <c r="J112" s="77"/>
      <c r="K112" s="92"/>
    </row>
    <row r="113" spans="1:11" ht="71.400000000000006" x14ac:dyDescent="0.25">
      <c r="A113" s="14" t="s">
        <v>3005</v>
      </c>
      <c r="B113" s="14"/>
      <c r="C113" s="14"/>
      <c r="D113" s="16"/>
      <c r="E113" s="16"/>
      <c r="F113" s="14" t="s">
        <v>3023</v>
      </c>
      <c r="G113" s="14"/>
      <c r="H113" s="14"/>
      <c r="I113" s="15"/>
      <c r="J113" s="77"/>
      <c r="K113" s="92"/>
    </row>
    <row r="114" spans="1:11" ht="13.2" x14ac:dyDescent="0.25">
      <c r="A114" s="14" t="s">
        <v>3005</v>
      </c>
      <c r="B114" s="14" t="s">
        <v>3020</v>
      </c>
      <c r="C114" s="14" t="s">
        <v>3024</v>
      </c>
      <c r="D114" s="16">
        <v>45839</v>
      </c>
      <c r="E114" s="16"/>
      <c r="F114" s="14" t="s">
        <v>3008</v>
      </c>
      <c r="G114" s="14" t="s">
        <v>3014</v>
      </c>
      <c r="H114" s="14" t="s">
        <v>3015</v>
      </c>
      <c r="I114" s="15">
        <v>4500</v>
      </c>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2"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2"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2"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3.2"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0.399999999999999"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3.2" x14ac:dyDescent="0.25">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3.2" x14ac:dyDescent="0.25">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3.2" x14ac:dyDescent="0.25">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3.2" x14ac:dyDescent="0.25">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3.2" x14ac:dyDescent="0.25">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3.2" x14ac:dyDescent="0.25">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3.2" x14ac:dyDescent="0.25">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3.2" x14ac:dyDescent="0.25">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2" x14ac:dyDescent="0.25">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3.2" x14ac:dyDescent="0.25">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3.2" x14ac:dyDescent="0.25">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399999999999999"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399999999999999"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399999999999999"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3" zoomScaleNormal="100" workbookViewId="0">
      <selection activeCell="B21" sqref="B21"/>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Športový klub ZEMPLÍN Michalovce - oddiel Judo, o.z., Športová 3830/31, Michalovce, 071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31997449</v>
      </c>
      <c r="E18" s="147" t="s">
        <v>1275</v>
      </c>
      <c r="F18" s="282">
        <v>421947749446</v>
      </c>
      <c r="N18" s="137" t="str">
        <f t="shared" si="0"/>
        <v xml:space="preserve">r - </v>
      </c>
      <c r="O18" s="137" t="s">
        <v>368</v>
      </c>
    </row>
    <row r="19" spans="1:16" x14ac:dyDescent="0.25">
      <c r="E19" s="147" t="s">
        <v>1276</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Bc. Copak Gabriel</cp:lastModifiedBy>
  <cp:revision/>
  <cp:lastPrinted>2025-11-30T22:40:27Z</cp:lastPrinted>
  <dcterms:created xsi:type="dcterms:W3CDTF">2017-02-20T06:20:12Z</dcterms:created>
  <dcterms:modified xsi:type="dcterms:W3CDTF">2025-11-30T22:48:21Z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