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gabrisa\Documents\dotacie\sportove podujatia\vyuctovanie\"/>
    </mc:Choice>
  </mc:AlternateContent>
  <xr:revisionPtr revIDLastSave="0" documentId="8_{2249C4EA-6F49-46F2-9B9F-0B83AA3186FE}" xr6:coauthVersionLast="47" xr6:coauthVersionMax="47" xr10:uidLastSave="{00000000-0000-0000-0000-000000000000}"/>
  <bookViews>
    <workbookView xWindow="-108" yWindow="-108" windowWidth="23256" windowHeight="125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<sst xmlns="http://schemas.openxmlformats.org/spreadsheetml/2006/main" count="6551" uniqueCount="3007">
  <si>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</si>
  <si>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</si>
  <si>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</si>
  <si>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</si>
  <si>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</si>
  <si>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</si>
  <si>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</si>
  <si>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</si>
  <si>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</si>
  <si>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</si>
  <si>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</si>
  <si>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</si>
  <si>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</si>
  <si>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</si>
  <si>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</si>
  <si>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</si>
  <si>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</si>
  <si>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</si>
  <si>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</si>
  <si>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</si>
  <si>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</si>
  <si>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</si>
  <si>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</si>
  <si>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</si>
  <si>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</si>
  <si>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</si>
  <si>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</si>
  <si>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</si>
  <si>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</si>
  <si>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</si>
  <si>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</si>
  <si>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</si>
  <si>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</si>
  <si>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</si>
  <si>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</si>
  <si>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</si>
  <si>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</si>
  <si>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</si>
  <si>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</si>
  <si>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</si>
  <si>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</si>
  <si>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</si>
  <si>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</si>
  <si>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</si>
  <si>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</si>
  <si>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</si>
  <si>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</si>
  <si>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</si>
  <si>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</si>
  <si>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</si>
  <si>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</si>
  <si>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</si>
  <si>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</si>
  <si>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</si>
  <si>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</si>
  <si>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</si>
  <si>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</si>
  <si>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</si>
  <si>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</si>
  <si>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</si>
  <si>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</si>
  <si>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</si>
  <si>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</si>
  <si>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</si>
  <si>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</si>
  <si>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</si>
  <si>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</si>
  <si>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</si>
  <si>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</si>
  <si>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</si>
  <si>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</si>
  <si>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</si>
  <si>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</si>
  <si>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</si>
  <si>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</si>
  <si>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</si>
  <si>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</si>
  <si>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</si>
  <si>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</si>
  <si>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</si>
  <si>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</si>
  <si>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</si>
  <si>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</si>
  <si>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</si>
  <si>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</si>
  <si>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</si>
  <si>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</si>
  <si>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</si>
  <si>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</si>
  <si>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</si>
  <si>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</si>
  <si>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</si>
  <si>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</si>
  <si>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</si>
  <si>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</si>
  <si>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</si>
  <si>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</si>
  <si>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</si>
  <si>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</si>
  <si>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</si>
  <si>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</si>
  <si>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</si>
  <si>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</si>
  <si>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</si>
  <si>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</si>
  <si>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</si>
  <si>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</si>
  <si>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</si>
  <si>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</si>
  <si>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</si>
  <si>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</si>
  <si>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</si>
  <si>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</si>
  <si>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</si>
  <si>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</si>
  <si>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</si>
  <si>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</si>
  <si>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</si>
  <si>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</si>
  <si>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</si>
  <si>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</si>
  <si>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</si>
  <si>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</si>
  <si>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</si>
  <si>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</si>
  <si>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</si>
  <si>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</si>
  <si>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</si>
  <si>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</si>
  <si>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</si>
  <si>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</si>
  <si>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</si>
  <si>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</si>
  <si>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</si>
  <si>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</si>
  <si>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</si>
  <si>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</si>
  <si>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</si>
  <si>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</si>
  <si>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</si>
  <si>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</si>
  <si>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</si>
  <si>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</si>
  <si>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</si>
  <si>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</si>
  <si>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</si>
  <si>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</si>
  <si>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</si>
  <si>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</si>
  <si>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</si>
  <si>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</si>
  <si>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</si>
  <si>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</si>
  <si>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</si>
  <si>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</si>
  <si>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</si>
  <si>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</si>
  <si>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</si>
  <si>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</si>
  <si>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</si>
  <si>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</si>
  <si>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</si>
  <si>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</si>
  <si>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</si>
  <si>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</si>
  <si>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</si>
  <si>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</si>
  <si>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</si>
  <si>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</si>
  <si>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</si>
  <si>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</si>
  <si>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</si>
  <si>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</si>
  <si>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</si>
  <si>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</si>
  <si>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</si>
  <si>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</si>
  <si>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</si>
  <si>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</si>
  <si>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</si>
  <si>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</si>
  <si>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</si>
  <si>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</si>
  <si>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</si>
  <si>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</si>
  <si>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</si>
  <si>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</si>
  <si>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</si>
  <si>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</si>
  <si>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</si>
  <si>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</si>
  <si>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</si>
  <si>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</si>
  <si>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</si>
  <si>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</si>
  <si>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</si>
  <si>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</si>
  <si>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</si>
  <si>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</si>
  <si>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</si>
  <si>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</si>
  <si>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</si>
  <si>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</si>
  <si>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</si>
  <si>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</si>
  <si>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</si>
  <si>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</si>
  <si>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</si>
  <si>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</si>
  <si>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</si>
  <si>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</si>
  <si>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</si>
  <si>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</si>
  <si>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</si>
  <si>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</si>
  <si>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</si>
  <si>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</si>
  <si>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</si>
  <si>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</si>
  <si>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</si>
  <si>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</si>
  <si>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</si>
  <si>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</si>
  <si>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</si>
  <si>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</si>
  <si>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</si>
  <si>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</si>
  <si>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</si>
  <si>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</si>
  <si>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</si>
  <si>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</si>
  <si>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</si>
  <si>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</si>
  <si>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</si>
  <si>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</si>
  <si>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</si>
  <si>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</si>
  <si>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</si>
  <si>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</si>
  <si>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</si>
  <si>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</si>
  <si>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</si>
  <si>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</si>
  <si>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</si>
  <si>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</si>
  <si>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</si>
  <si>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</si>
  <si>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</si>
  <si>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</si>
  <si>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</si>
  <si>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</si>
  <si>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</si>
  <si>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</si>
  <si>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</si>
  <si>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</si>
  <si>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</si>
  <si>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</si>
  <si>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</si>
  <si>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</si>
  <si>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</si>
  <si>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</si>
  <si>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</si>
  <si>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</si>
  <si>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</si>
  <si>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</si>
  <si>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</si>
  <si>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</si>
  <si>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</si>
  <si>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</si>
  <si>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</si>
  <si>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</si>
  <si>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</si>
  <si>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</si>
  <si>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</si>
  <si>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</si>
  <si>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</si>
  <si>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</si>
  <si>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</si>
  <si>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</si>
  <si>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</si>
  <si>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</si>
  <si>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</si>
  <si>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</si>
  <si>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</si>
  <si>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</si>
  <si>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</si>
  <si>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</si>
  <si>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</si>
  <si>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</si>
  <si>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</si>
  <si>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</si>
  <si>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</si>
  <si>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</si>
  <si>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</si>
  <si>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</si>
  <si>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</si>
  <si>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</si>
  <si>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</si>
  <si>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</si>
  <si>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</si>
  <si>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</si>
  <si>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</si>
  <si>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</si>
  <si>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</si>
  <si>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</si>
  <si>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</si>
  <si>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</si>
  <si>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</si>
  <si>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</si>
  <si>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</si>
  <si>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</si>
  <si>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</si>
  <si>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</si>
  <si>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</si>
  <si>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</si>
  <si>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</si>
  <si>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</si>
  <si>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</si>
  <si>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</si>
  <si>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</si>
  <si>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</si>
  <si>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</si>
  <si>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</si>
  <si>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</si>
  <si>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</si>
  <si>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</si>
  <si>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</si>
  <si>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</si>
  <si>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</si>
  <si>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</si>
  <si>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</si>
  <si>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</si>
  <si>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</si>
  <si>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</si>
  <si>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</si>
  <si>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</si>
  <si>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</si>
  <si>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</si>
  <si>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</si>
  <si>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</si>
  <si>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</si>
  <si>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</si>
  <si>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</si>
  <si>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</si>
  <si>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</si>
  <si>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</si>
  <si>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</si>
  <si>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</si>
  <si>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</si>
  <si>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</si>
  <si>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</si>
  <si>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</si>
  <si>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</si>
  <si>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</si>
  <si>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</si>
  <si>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</si>
  <si>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</si>
  <si>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</si>
  <si>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</si>
  <si>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</si>
  <si>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</si>
  <si>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</si>
  <si>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</si>
  <si>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</si>
  <si>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</si>
  <si>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</si>
  <si>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</si>
  <si>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</si>
  <si>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</si>
  <si>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</si>
  <si>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</si>
  <si>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</si>
  <si>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</si>
  <si>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</si>
  <si>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</si>
  <si>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</si>
  <si>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</si>
  <si>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</si>
  <si>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</si>
  <si>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</si>
  <si>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</si>
  <si>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</si>
  <si>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</si>
  <si>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</si>
  <si>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</si>
  <si>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</si>
  <si>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</si>
  <si>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</si>
  <si>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</si>
  <si>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</si>
  <si>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</si>
  <si>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</si>
  <si>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</si>
  <si>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</si>
  <si>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</si>
  <si>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</si>
  <si>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</si>
  <si>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</si>
  <si>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</si>
  <si>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</si>
  <si>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</si>
  <si>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</si>
  <si>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</si>
  <si>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</si>
  <si>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</si>
  <si>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</si>
  <si>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</si>
  <si>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</si>
  <si>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</si>
  <si>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</si>
  <si>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</si>
  <si>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</si>
  <si>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</si>
  <si>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</si>
  <si>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</si>
  <si>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</si>
  <si>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</si>
  <si>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</si>
  <si>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</si>
  <si>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</si>
  <si>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</si>
  <si>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</si>
  <si>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</si>
  <si>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</si>
  <si>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</si>
  <si>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</si>
  <si>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</si>
  <si>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</si>
  <si>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</si>
  <si>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</si>
  <si>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</si>
  <si>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</si>
  <si>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</si>
  <si>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</si>
  <si>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</si>
  <si>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</si>
  <si>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</si>
  <si>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</si>
  <si>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</si>
  <si>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</si>
  <si>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</si>
  <si>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</si>
  <si>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</si>
  <si>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</si>
  <si>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</si>
  <si>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</si>
  <si>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</si>
  <si>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</si>
  <si>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</si>
  <si>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</si>
  <si>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</si>
  <si>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</si>
  <si>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</si>
  <si>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</si>
  <si>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</si>
  <si>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</si>
  <si>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</si>
  <si>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</si>
  <si>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</si>
  <si>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</si>
  <si>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</si>
  <si>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</si>
  <si>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</si>
  <si>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</si>
  <si>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</si>
  <si>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</si>
  <si>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</si>
  <si>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</si>
  <si>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</si>
  <si>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</si>
  <si>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</si>
  <si>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</si>
  <si>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</si>
  <si>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</si>
  <si>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</si>
  <si>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</si>
  <si>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</si>
  <si>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</si>
  <si>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</si>
  <si>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</si>
  <si>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</si>
  <si>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</si>
  <si>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</si>
  <si>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</si>
  <si>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</si>
  <si>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</si>
  <si>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</si>
  <si>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</si>
  <si>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</si>
  <si>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</si>
  <si>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</si>
  <si>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</si>
  <si>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</si>
  <si>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</si>
  <si>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</si>
  <si>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</si>
  <si>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</si>
  <si>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</si>
  <si>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</si>
  <si>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</si>
  <si>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</si>
  <si>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</si>
  <si>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</si>
  <si>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</si>
  <si>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</si>
  <si>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</si>
  <si>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</si>
  <si>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</si>
  <si>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</si>
  <si>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</si>
  <si>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</si>
  <si>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</si>
  <si>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</si>
  <si>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</si>
  <si>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</si>
  <si>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</si>
  <si>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</si>
  <si>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</si>
  <si>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</si>
  <si>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</si>
  <si>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</si>
  <si>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</si>
  <si>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</si>
  <si>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</si>
  <si>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</si>
  <si>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</si>
  <si>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</si>
  <si>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</si>
  <si>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</si>
  <si>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</si>
  <si>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</si>
  <si>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</si>
  <si>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</si>
  <si>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</si>
  <si>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</si>
  <si>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</si>
  <si>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</si>
  <si>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</si>
  <si>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</si>
  <si>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</si>
  <si>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</si>
  <si>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</si>
  <si>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</si>
  <si>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</si>
  <si>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</si>
  <si>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</si>
  <si>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</si>
  <si>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</si>
  <si>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</si>
  <si>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</si>
  <si>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</si>
  <si>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</si>
  <si>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</si>
  <si>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</si>
  <si>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</si>
  <si>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</si>
  <si>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</si>
  <si>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</si>
  <si>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</si>
  <si>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</si>
  <si>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</si>
  <si>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</si>
  <si>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</si>
  <si>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</si>
  <si>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</si>
  <si>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</si>
  <si>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</si>
  <si>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</si>
  <si>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</si>
  <si>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</si>
  <si>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</si>
  <si>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</si>
  <si>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</si>
  <si>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</si>
  <si>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</si>
  <si>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</si>
  <si>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</si>
  <si>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</si>
  <si>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</si>
  <si>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</si>
  <si>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</si>
  <si>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</si>
  <si>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</si>
  <si>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</si>
  <si>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</si>
  <si>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</si>
  <si>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</si>
  <si>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</si>
  <si>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</si>
  <si>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</si>
  <si>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</si>
  <si>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</si>
  <si>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</si>
  <si>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</si>
  <si>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</si>
  <si>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</si>
  <si>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</si>
  <si>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</si>
  <si>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</si>
  <si>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</si>
  <si>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</si>
  <si>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</si>
  <si>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</si>
  <si>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</si>
  <si>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</si>
  <si>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</si>
  <si>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</si>
  <si>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</si>
  <si>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</si>
  <si>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</si>
  <si>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</si>
  <si>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</si>
  <si>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</si>
  <si>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</si>
  <si>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</si>
  <si>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</si>
  <si>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</si>
  <si>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</si>
  <si>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</si>
  <si>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</si>
  <si>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</si>
  <si>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</si>
  <si>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</si>
  <si>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</si>
  <si>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</si>
  <si>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</si>
  <si>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</si>
  <si>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</si>
  <si>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</si>
  <si>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</si>
  <si>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</si>
  <si>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</si>
  <si>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</si>
  <si>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</si>
  <si>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</si>
  <si>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</si>
  <si>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</si>
  <si>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</si>
  <si>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</si>
  <si>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</si>
  <si>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</si>
  <si>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</si>
  <si>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</si>
  <si>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</si>
  <si>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</si>
  <si>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</si>
  <si>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</si>
  <si>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</si>
  <si>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</si>
  <si>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</si>
  <si>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</si>
  <si>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</si>
  <si>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</si>
  <si>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</si>
  <si>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</si>
  <si>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</si>
  <si>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</si>
  <si>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</si>
  <si>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</si>
  <si>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</si>
  <si>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</si>
  <si>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</si>
  <si>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</si>
  <si>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</si>
  <si>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</si>
  <si>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</si>
  <si>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</si>
  <si>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</si>
  <si>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</si>
  <si>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</si>
  <si>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</si>
  <si>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</si>
  <si>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</si>
  <si>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</si>
  <si>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</si>
  <si>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</si>
  <si>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</si>
  <si>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</si>
  <si>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</si>
  <si>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</si>
  <si>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</si>
  <si>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</si>
  <si>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</si>
  <si>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</si>
  <si>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</si>
  <si>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</si>
  <si>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</si>
  <si>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</si>
  <si>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</si>
  <si>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</si>
  <si>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</si>
  <si>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</si>
  <si>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</si>
  <si>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</si>
  <si>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</si>
  <si>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</si>
  <si>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</si>
  <si>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</si>
  <si>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</si>
  <si>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</si>
  <si>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</si>
  <si>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</si>
  <si>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</si>
  <si>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</si>
  <si>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</si>
  <si>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</si>
  <si>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</si>
  <si>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</si>
  <si>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</si>
  <si>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</si>
  <si>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</si>
  <si>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</si>
  <si>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</si>
  <si>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</si>
  <si>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</si>
  <si>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</si>
  <si>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</si>
  <si>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</si>
  <si>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</si>
  <si>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</si>
  <si>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</si>
  <si>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</si>
  <si>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</si>
  <si>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</si>
  <si>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</si>
  <si>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</si>
  <si>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</si>
  <si>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</si>
  <si>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</si>
  <si>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</si>
  <si>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</si>
  <si>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</si>
  <si>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</si>
  <si>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</si>
  <si>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</si>
  <si>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</si>
  <si>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</si>
  <si>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</si>
  <si>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</si>
  <si>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</si>
  <si>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</si>
  <si>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</si>
  <si>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</si>
  <si>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</si>
  <si>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</si>
  <si>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</si>
  <si>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</si>
  <si>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</si>
  <si>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</si>
  <si>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</si>
  <si>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</si>
  <si>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</si>
  <si>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</si>
  <si>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</si>
  <si>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</si>
  <si>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</si>
  <si>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</si>
  <si>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</si>
  <si>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</si>
  <si>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</si>
  <si>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</si>
  <si>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</si>
  <si>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</si>
  <si>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</si>
  <si>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</si>
  <si>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</si>
  <si>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</si>
  <si>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</si>
  <si>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</si>
  <si>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</si>
  <si>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</si>
  <si>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</si>
  <si>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</si>
  <si>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</si>
  <si>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</si>
  <si>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</si>
  <si>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</si>
  <si>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</si>
  <si>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</si>
  <si>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</si>
  <si>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</si>
  <si>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</si>
  <si>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</si>
  <si>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</si>
  <si>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</si>
  <si>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</si>
  <si>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</si>
  <si>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</si>
  <si>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</si>
  <si>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</si>
  <si>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</si>
  <si>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</si>
  <si>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</si>
  <si>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</si>
  <si>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</si>
  <si>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</si>
  <si>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</si>
  <si>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</si>
  <si>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</si>
  <si>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</si>
  <si>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</si>
  <si>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</si>
  <si>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</si>
  <si>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</si>
  <si>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</si>
  <si>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</si>
  <si>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</si>
  <si>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</si>
  <si>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</si>
  <si>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</si>
  <si>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</si>
  <si>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</si>
  <si>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</si>
  <si>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</si>
  <si>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</si>
  <si>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</si>
  <si>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</si>
  <si>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</si>
  <si>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</si>
  <si>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</si>
  <si>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</si>
  <si>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</si>
  <si>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</si>
  <si>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</si>
  <si>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</si>
  <si>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</si>
  <si>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</si>
  <si>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</si>
  <si>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</si>
  <si>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</si>
  <si>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</si>
  <si>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</si>
  <si>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</si>
  <si>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</si>
  <si>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</si>
  <si>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</si>
  <si>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</si>
  <si>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</si>
  <si>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</si>
  <si>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</si>
  <si>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</si>
  <si>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</si>
  <si>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</si>
  <si>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</si>
  <si>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</si>
  <si>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</si>
  <si>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</si>
  <si>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</si>
  <si>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</si>
  <si>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</si>
  <si>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</si>
  <si>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</si>
  <si>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</si>
  <si>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</si>
  <si>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</si>
  <si>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</si>
  <si>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</si>
  <si>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</si>
  <si>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</si>
  <si>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</si>
  <si>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</si>
  <si>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</si>
  <si>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</si>
  <si>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</si>
  <si>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</si>
  <si>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</si>
  <si>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</si>
  <si>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</si>
  <si>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</si>
  <si>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</si>
  <si>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</si>
  <si>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</si>
  <si>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</si>
  <si>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</si>
  <si>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</si>
  <si>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</si>
  <si>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</si>
  <si>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</si>
  <si>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</si>
  <si>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</si>
  <si>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</si>
  <si>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</si>
  <si>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</si>
  <si>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</si>
  <si>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</si>
  <si>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</si>
  <si>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</si>
  <si>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</si>
  <si>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</si>
  <si>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</si>
  <si>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</si>
  <si>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</si>
  <si>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</si>
  <si>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</si>
  <si>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</si>
  <si>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</si>
  <si>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</si>
  <si>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</si>
  <si>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</si>
  <si>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</si>
  <si>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</si>
  <si>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</si>
  <si>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</si>
  <si>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</si>
  <si>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</si>
  <si>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</si>
  <si>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</si>
  <si>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</si>
  <si>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</si>
  <si>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</si>
  <si>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</si>
  <si>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</si>
  <si>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</si>
  <si>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</si>
  <si>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</si>
  <si>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</si>
  <si>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</si>
  <si>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</si>
  <si>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</si>
  <si>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</si>
  <si>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</si>
  <si>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</si>
  <si>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</si>
  <si>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</si>
  <si>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</si>
  <si>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</si>
  <si>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</si>
  <si>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</si>
  <si>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</si>
  <si>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</si>
  <si>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</si>
  <si>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</si>
  <si>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</si>
  <si>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</si>
  <si>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</si>
  <si>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</si>
  <si>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</si>
  <si>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</si>
  <si>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</si>
  <si>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</si>
  <si>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</si>
  <si>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</si>
  <si>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</si>
  <si>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</si>
  <si>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</si>
  <si>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</si>
  <si>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</si>
  <si>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</si>
  <si>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</si>
  <si>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</si>
  <si>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</si>
  <si>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</si>
  <si>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</si>
  <si>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</si>
  <si>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</si>
  <si>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</si>
  <si>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</si>
  <si>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</si>
  <si>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</si>
  <si>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</si>
  <si>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</si>
  <si>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</si>
  <si>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</si>
  <si>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</si>
  <si>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</si>
  <si>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</si>
  <si>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</si>
  <si>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</si>
  <si>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</si>
  <si>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</si>
  <si>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</si>
  <si>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</si>
  <si>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</si>
  <si>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</si>
  <si>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</si>
  <si>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</si>
  <si>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</si>
  <si>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</si>
  <si>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</si>
  <si>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</si>
  <si>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</si>
  <si>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</si>
  <si>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</si>
  <si>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</si>
  <si>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</si>
  <si>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</si>
  <si>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</si>
  <si>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</si>
  <si>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</si>
  <si>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</si>
  <si>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</si>
  <si>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</si>
  <si>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</si>
  <si>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</si>
  <si>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</si>
  <si>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</si>
  <si>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</si>
  <si>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</si>
  <si>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</si>
  <si>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</si>
  <si>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</si>
  <si>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</si>
  <si>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</si>
  <si>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</si>
  <si>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</si>
  <si>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</si>
  <si>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</si>
  <si>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</si>
  <si>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</si>
  <si>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</si>
  <si>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</si>
  <si>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</si>
  <si>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</si>
  <si>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</si>
  <si>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</si>
  <si>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</si>
  <si>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</si>
  <si>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</si>
  <si>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</si>
  <si>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</si>
  <si>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</si>
  <si>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</si>
  <si>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</si>
  <si>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</si>
  <si>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</si>
  <si>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</si>
  <si>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</si>
  <si>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</si>
  <si>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</si>
  <si>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</si>
  <si>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</si>
  <si>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</si>
  <si>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</si>
  <si>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</si>
  <si>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</si>
  <si>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</si>
  <si>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</si>
  <si>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</si>
  <si>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</si>
  <si>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</si>
  <si>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</si>
  <si>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</si>
  <si>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</si>
  <si>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</si>
  <si>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</si>
  <si>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</si>
  <si>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</si>
  <si>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</si>
  <si>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</si>
  <si>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</si>
  <si>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</si>
  <si>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</si>
  <si>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</si>
  <si>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</si>
  <si>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</si>
  <si>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</si>
  <si>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</si>
  <si>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</si>
  <si>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</si>
  <si>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</si>
  <si>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</si>
  <si>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</si>
  <si>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</si>
  <si>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</si>
  <si>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</si>
  <si>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</si>
  <si>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</si>
  <si>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</si>
  <si>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</si>
  <si>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</si>
  <si>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</si>
  <si>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</si>
  <si>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</si>
  <si>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</si>
  <si>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</si>
  <si>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</si>
  <si>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</si>
  <si>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</si>
  <si>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</si>
  <si>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</si>
  <si>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</si>
  <si>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</si>
  <si>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</si>
  <si>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</si>
  <si>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</si>
  <si>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</si>
  <si>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</si>
  <si>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</si>
  <si>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</si>
  <si>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</si>
  <si>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</si>
  <si>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</si>
  <si>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</si>
  <si>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</si>
  <si>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</si>
  <si>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</si>
  <si>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</si>
  <si>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</si>
  <si>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</si>
  <si>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</si>
  <si>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</si>
  <si>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</si>
  <si>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</si>
  <si>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</si>
  <si>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</si>
  <si>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</si>
  <si>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</si>
  <si>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</si>
  <si>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</si>
  <si>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</si>
  <si>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</si>
  <si>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</si>
  <si>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</si>
  <si>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</si>
  <si>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</si>
  <si>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</si>
  <si>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</si>
  <si>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</si>
  <si>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</si>
  <si>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</si>
  <si>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</si>
  <si>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</si>
  <si>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</si>
  <si>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</si>
  <si>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</si>
  <si>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</si>
  <si>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</si>
  <si>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</si>
  <si>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</si>
  <si>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</si>
  <si>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</si>
  <si>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</si>
  <si>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</si>
  <si>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</si>
  <si>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</si>
  <si>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</si>
  <si>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</si>
  <si>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</si>
  <si>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</si>
  <si>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</si>
  <si>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</si>
  <si>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</si>
  <si>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</si>
  <si>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</si>
  <si>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</si>
  <si>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</si>
  <si>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</si>
  <si>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</si>
  <si>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</si>
  <si>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</si>
  <si>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</si>
  <si>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</si>
  <si>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</si>
  <si>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</si>
  <si>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</si>
  <si>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</si>
  <si>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</si>
  <si>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</si>
  <si>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</si>
  <si>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</si>
  <si>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</si>
  <si>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</si>
  <si>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</si>
  <si>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</si>
  <si>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</si>
  <si>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</si>
  <si>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</si>
  <si>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</si>
  <si>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</si>
  <si>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</si>
  <si>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</si>
  <si>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</si>
  <si>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</si>
  <si>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</si>
  <si>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</si>
  <si>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</si>
  <si>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</si>
  <si>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</si>
  <si>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</si>
  <si>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</si>
  <si>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</si>
  <si>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</si>
  <si>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</si>
  <si>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</si>
  <si>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</si>
  <si>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</si>
  <si>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</si>
  <si>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</si>
  <si>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</si>
  <si>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</si>
  <si>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</si>
  <si>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</si>
  <si>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</si>
  <si>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</si>
  <si>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</si>
  <si>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</si>
  <si>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</si>
  <si>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</si>
  <si>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</si>
  <si>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</si>
  <si>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</si>
  <si>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</si>
  <si>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</si>
  <si>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</si>
  <si>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</si>
  <si>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</si>
  <si>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</si>
  <si>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</si>
  <si>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</si>
  <si>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</si>
  <si>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</si>
  <si>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</si>
  <si>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</si>
  <si>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</si>
  <si>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</si>
  <si>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</si>
  <si>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</si>
  <si>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</si>
  <si>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</si>
  <si>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</si>
  <si>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</si>
  <si>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</si>
  <si>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</si>
  <si>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</si>
  <si>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</si>
  <si>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</si>
  <si>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</si>
  <si>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</si>
  <si>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</si>
  <si>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</si>
  <si>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</si>
  <si>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</si>
  <si>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</si>
  <si>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</si>
  <si>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</si>
  <si>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</si>
  <si>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</si>
  <si>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</si>
  <si>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</si>
  <si>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</si>
  <si>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</si>
  <si>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</si>
  <si>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</si>
  <si>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</si>
  <si>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</si>
  <si>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</si>
  <si>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</si>
  <si>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</si>
  <si>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</si>
  <si>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</si>
  <si>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</si>
  <si>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</si>
  <si>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</si>
  <si>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</si>
  <si>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</si>
  <si>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</si>
  <si>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</si>
  <si>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</si>
  <si>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</si>
  <si>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</si>
  <si>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</si>
  <si>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</si>
  <si>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</si>
  <si>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</si>
  <si>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</si>
  <si>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</si>
  <si>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</si>
  <si>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</si>
  <si>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</si>
  <si>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</si>
  <si>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</si>
  <si>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</si>
  <si>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</si>
  <si>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</si>
  <si>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</si>
  <si>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</si>
  <si>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</si>
  <si>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</si>
  <si>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</si>
  <si>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</si>
  <si>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</si>
  <si>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</si>
  <si>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</si>
  <si>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</si>
  <si>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</si>
  <si>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</si>
  <si>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</si>
  <si>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</si>
  <si>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</si>
  <si>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</si>
  <si>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</si>
  <si>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</si>
  <si>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</si>
  <si>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</si>
  <si>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</si>
  <si>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</si>
  <si>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</si>
  <si>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</si>
  <si>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</si>
  <si>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</si>
  <si>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</si>
  <si>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</si>
  <si>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</si>
  <si>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</si>
  <si>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</si>
  <si>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</si>
  <si>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</si>
  <si>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</si>
  <si>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</si>
  <si>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</si>
  <si>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</si>
  <si>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</si>
  <si>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</si>
  <si>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</si>
  <si>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</si>
  <si>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</si>
  <si>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</si>
  <si>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</si>
  <si>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</si>
  <si>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</si>
  <si>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</si>
  <si>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</si>
  <si>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</si>
  <si>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</si>
  <si>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</si>
  <si>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</si>
  <si>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</si>
  <si>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</si>
  <si>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</si>
  <si>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</si>
  <si>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</si>
  <si>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</si>
  <si>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</si>
  <si>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</si>
  <si>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</si>
  <si>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</si>
  <si>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</si>
  <si>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</si>
  <si>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</si>
  <si>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</si>
  <si>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</si>
  <si>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</si>
  <si>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</si>
  <si>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</si>
  <si>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</si>
  <si>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</si>
  <si>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</si>
  <si>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</si>
  <si>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</si>
  <si>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</si>
  <si>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</si>
  <si>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</si>
  <si>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</si>
  <si>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</si>
  <si>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</si>
  <si>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</si>
  <si>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</si>
  <si>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</si>
  <si>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</si>
  <si>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</si>
  <si>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</si>
  <si>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</si>
  <si>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</si>
  <si>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</si>
  <si>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</si>
  <si>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</si>
  <si>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</si>
  <si>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</si>
  <si>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</si>
  <si>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</si>
  <si>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</si>
  <si>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</si>
  <si>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</si>
  <si>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</si>
  <si>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</si>
  <si>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</si>
  <si>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</si>
  <si>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</si>
  <si>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</si>
  <si>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</si>
  <si>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</si>
  <si>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</si>
  <si>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</si>
  <si>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</si>
  <si>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</si>
  <si>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</si>
  <si>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</si>
  <si>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</si>
  <si>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</si>
  <si>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</si>
  <si>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</si>
  <si>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</si>
  <si>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</si>
  <si>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</si>
  <si>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</si>
  <si>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</si>
  <si>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</si>
  <si>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</si>
  <si>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</si>
  <si>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</si>
  <si>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</si>
  <si>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</si>
  <si>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</si>
  <si>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</si>
  <si>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</si>
  <si>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</si>
  <si>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</si>
  <si>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</si>
  <si>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</si>
  <si>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</si>
  <si>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</si>
  <si>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</si>
  <si>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</si>
  <si>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</si>
  <si>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</si>
  <si>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</si>
  <si>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</si>
  <si>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</si>
  <si>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</si>
  <si>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</si>
  <si>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</si>
  <si>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</si>
  <si>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</si>
  <si>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</si>
  <si>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</si>
  <si>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</si>
  <si>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</si>
  <si>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</si>
  <si>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</si>
  <si>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</si>
  <si>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</si>
  <si>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</si>
  <si>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</si>
  <si>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</si>
  <si>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</si>
  <si>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</si>
  <si>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</si>
  <si>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</si>
  <si>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</si>
  <si>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</si>
  <si>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</si>
  <si>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</si>
  <si>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</si>
  <si>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</si>
  <si>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</si>
  <si>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</si>
  <si>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</si>
  <si>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</si>
  <si>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</si>
  <si>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</si>
  <si>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</si>
  <si>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</si>
  <si>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</si>
  <si>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</si>
  <si>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</si>
  <si>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</si>
  <si>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</si>
  <si>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</si>
  <si>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</si>
  <si>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</si>
  <si>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</si>
  <si>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</si>
  <si>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</si>
  <si>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</si>
  <si>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</si>
  <si>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</si>
  <si>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</si>
  <si>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</si>
  <si>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</si>
  <si>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</si>
  <si>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</si>
  <si>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</si>
  <si>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</si>
  <si>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</si>
  <si>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</si>
  <si>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</si>
  <si>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</si>
  <si>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</si>
  <si>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</si>
  <si>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</si>
  <si>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</si>
  <si>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</si>
  <si>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</si>
  <si>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</si>
  <si>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</si>
  <si>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</si>
  <si>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</si>
  <si>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</si>
  <si>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</si>
  <si>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</si>
  <si>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</si>
  <si>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</si>
  <si>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</si>
  <si>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</si>
  <si>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</si>
  <si>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</si>
  <si>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</si>
  <si>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</si>
  <si>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</si>
  <si>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</si>
  <si>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</si>
  <si>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</si>
  <si>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</si>
  <si>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</si>
  <si>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</si>
  <si>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</si>
  <si>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</si>
  <si>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</si>
  <si>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</si>
  <si>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</si>
  <si>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</si>
  <si>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</si>
  <si>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</si>
  <si>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</si>
  <si>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</si>
  <si>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</si>
  <si>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</si>
  <si>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</si>
  <si>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</si>
  <si>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</si>
  <si>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</si>
  <si>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</si>
  <si>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</si>
  <si>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</si>
  <si>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</si>
  <si>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</si>
  <si>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</si>
  <si>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</si>
  <si>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</si>
  <si>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</si>
  <si>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</si>
  <si>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</si>
  <si>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</si>
  <si>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</si>
  <si>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</si>
  <si>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</si>
  <si>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</si>
  <si>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</si>
  <si>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</si>
  <si>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</si>
  <si>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</si>
  <si>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</si>
  <si>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</si>
  <si>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</si>
  <si>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</si>
  <si>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</si>
  <si>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</si>
  <si>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</si>
  <si>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</si>
  <si>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</si>
  <si>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</si>
  <si>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</si>
  <si>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</si>
  <si>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</si>
  <si>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</si>
  <si>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</si>
  <si>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</si>
  <si>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</si>
  <si>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</si>
  <si>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</si>
  <si>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</si>
  <si>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</si>
  <si>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</si>
  <si>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</si>
  <si>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</si>
  <si>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</si>
  <si>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</si>
  <si>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</si>
  <si>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</si>
  <si>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</si>
  <si>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</si>
  <si>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</si>
  <si>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</si>
  <si>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</si>
  <si>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</si>
  <si>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</si>
  <si>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</si>
  <si>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</si>
  <si>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</si>
  <si>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</si>
  <si>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</si>
  <si>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</si>
  <si>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</si>
  <si>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</si>
  <si>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</si>
  <si>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</si>
  <si>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</si>
  <si>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</si>
  <si>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</si>
  <si>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</si>
  <si>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</si>
  <si>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</si>
  <si>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</si>
  <si>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</si>
  <si>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</si>
  <si>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</si>
  <si>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</si>
  <si>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</si>
  <si>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</si>
  <si>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</si>
  <si>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</si>
  <si>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</si>
  <si>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</si>
  <si>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</si>
  <si>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</si>
  <si>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</si>
  <si>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</si>
  <si>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</si>
  <si>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</si>
  <si>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</si>
  <si>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</si>
  <si>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</si>
  <si>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</si>
  <si>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</si>
  <si>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</si>
  <si>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</si>
  <si>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</si>
  <si>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</si>
  <si>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</si>
  <si>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</si>
  <si>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</si>
  <si>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</si>
  <si>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</si>
  <si>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</si>
  <si>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</si>
  <si>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</si>
  <si>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</si>
  <si>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</si>
  <si>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</si>
  <si>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</si>
  <si>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</si>
  <si>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</si>
  <si>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</si>
  <si>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</si>
  <si>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</si>
  <si>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</si>
  <si>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</si>
  <si>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</si>
  <si>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</si>
  <si>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</si>
  <si>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</si>
  <si>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</si>
  <si>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</si>
  <si>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</si>
  <si>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</si>
  <si>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</si>
  <si>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</si>
  <si>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</si>
  <si>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</si>
  <si>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</si>
  <si>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</si>
  <si>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</si>
  <si>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</si>
  <si>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</si>
  <si>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</si>
  <si>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</si>
  <si>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</si>
  <si>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</si>
  <si>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</si>
  <si>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</si>
  <si>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</si>
  <si>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</si>
  <si>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</si>
  <si>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</si>
  <si>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</si>
  <si>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</si>
  <si>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</si>
  <si>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</si>
  <si>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</si>
  <si>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</si>
  <si>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</si>
  <si>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</si>
  <si>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</si>
  <si>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</si>
  <si>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</si>
  <si>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</si>
  <si>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</si>
  <si>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</si>
  <si>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</si>
  <si>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</si>
  <si>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</si>
  <si>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</si>
  <si>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</si>
  <si>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</si>
  <si>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</si>
  <si>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</si>
  <si>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</si>
  <si>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</si>
  <si>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</si>
  <si>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</si>
  <si>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</si>
  <si>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</si>
  <si>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</si>
  <si>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</si>
  <si>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</si>
  <si>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</si>
  <si>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</si>
  <si>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</si>
  <si>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</si>
  <si>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</si>
  <si>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</si>
  <si>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</si>
  <si>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</si>
  <si>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</si>
  <si>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</si>
  <si>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</si>
  <si>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</si>
  <si>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</si>
  <si>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</si>
  <si>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</si>
  <si>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</si>
  <si>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</si>
  <si>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</si>
  <si>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</si>
  <si>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</si>
  <si>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</si>
  <si>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</si>
  <si>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</si>
  <si>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</si>
  <si>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</si>
  <si>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</si>
  <si>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</si>
  <si>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</si>
  <si>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</si>
  <si>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</si>
  <si>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</si>
  <si>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</si>
  <si>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</si>
  <si>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</si>
  <si>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</si>
  <si>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</si>
  <si>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</si>
  <si>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</si>
  <si>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</si>
  <si>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</si>
  <si>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</si>
  <si>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</si>
  <si>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</si>
  <si>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</si>
  <si>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</si>
  <si>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</si>
  <si>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</si>
  <si>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</si>
  <si>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</si>
  <si>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</si>
  <si>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</si>
  <si>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</si>
  <si>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</si>
  <si>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</si>
  <si>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</si>
  <si>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</si>
  <si>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</si>
  <si>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</si>
  <si>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</si>
  <si>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</si>
  <si>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</si>
  <si>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</si>
  <si>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</si>
  <si>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</si>
  <si>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</si>
  <si>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</si>
  <si>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</si>
  <si>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</si>
  <si>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</si>
  <si>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</si>
  <si>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</si>
  <si>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</si>
  <si>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</si>
  <si>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</si>
  <si>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</si>
  <si>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</si>
  <si>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</si>
  <si>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</si>
  <si>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</si>
  <si>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</si>
  <si>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</si>
  <si>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</si>
  <si>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</si>
  <si>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</si>
  <si>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</si>
  <si>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</si>
  <si>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</si>
  <si>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</si>
  <si>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</si>
  <si>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</si>
  <si>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</si>
  <si>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</si>
  <si>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</si>
  <si>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</si>
  <si>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</si>
  <si>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</si>
  <si>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</si>
  <si>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</si>
  <si>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</si>
  <si>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</si>
  <si>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</si>
  <si>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</si>
  <si>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</si>
  <si>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</si>
  <si>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</si>
  <si>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</si>
  <si>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</si>
  <si>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</si>
  <si>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</si>
  <si>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</si>
  <si>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</si>
  <si>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</si>
  <si>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</si>
  <si>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</si>
  <si>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</si>
  <si>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</si>
  <si>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</si>
  <si>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</si>
  <si>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</si>
  <si>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</si>
  <si>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</si>
  <si>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</si>
  <si>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</si>
  <si>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</si>
  <si>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</si>
  <si>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</si>
  <si>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</si>
  <si>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</si>
  <si>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</si>
  <si>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</si>
  <si>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</si>
  <si>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</si>
  <si>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</si>
  <si>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</si>
  <si>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</si>
  <si>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</si>
  <si>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</si>
  <si>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</si>
  <si>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</si>
  <si>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</si>
  <si>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</si>
  <si>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</si>
  <si>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</si>
  <si>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</si>
  <si>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</si>
  <si>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</si>
  <si>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</si>
  <si>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</si>
  <si>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</si>
  <si>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</si>
  <si>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</si>
  <si>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</si>
  <si>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</si>
  <si>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</si>
  <si>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</si>
  <si>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</si>
  <si>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</si>
  <si>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</si>
  <si>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</si>
  <si>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</si>
  <si>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</si>
  <si>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</si>
  <si>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</si>
  <si>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</si>
  <si>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</si>
  <si>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</si>
  <si>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</si>
  <si>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</si>
  <si>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</si>
  <si>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</si>
  <si>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</si>
  <si>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</si>
  <si>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</si>
  <si>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</si>
  <si>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</si>
  <si>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</si>
  <si>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</si>
  <si>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</si>
  <si>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</si>
  <si>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</si>
  <si>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</si>
  <si>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</si>
  <si>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</si>
  <si>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</si>
  <si>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</si>
  <si>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</si>
  <si>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</si>
  <si>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</si>
  <si>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</si>
  <si>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</si>
  <si>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</si>
  <si>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</si>
  <si>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</si>
  <si>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</si>
  <si>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</si>
  <si>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</si>
  <si>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</si>
  <si>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</si>
  <si>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</si>
  <si>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</si>
  <si>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</si>
  <si>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</si>
  <si>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</si>
  <si>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</si>
  <si>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</si>
  <si>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</si>
  <si>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</si>
  <si>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</si>
  <si>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</si>
  <si>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</si>
  <si>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</si>
  <si>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</si>
  <si>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</si>
  <si>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</si>
  <si>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</si>
  <si>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</si>
  <si>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</si>
  <si>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</si>
  <si>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</si>
  <si>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</si>
  <si>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</si>
  <si>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</si>
  <si>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</si>
  <si>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</si>
  <si>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</si>
  <si>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</si>
  <si>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</si>
  <si>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</si>
  <si>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</si>
  <si>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</si>
  <si>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</si>
  <si>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</si>
  <si>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</si>
  <si>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</si>
  <si>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</si>
  <si>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</si>
  <si>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</si>
  <si>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</si>
  <si>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</si>
  <si>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</si>
  <si>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</si>
  <si>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</si>
  <si>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</si>
  <si>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</si>
  <si>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</si>
  <si>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</si>
  <si>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</si>
  <si>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</si>
  <si>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</si>
  <si>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</si>
  <si>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</si>
  <si>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</si>
  <si>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</si>
  <si>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</si>
  <si>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</si>
  <si>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</si>
  <si>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</si>
  <si>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</si>
  <si>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</si>
  <si>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</si>
  <si>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</si>
  <si>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</si>
  <si>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</si>
  <si>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</si>
  <si>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</si>
  <si>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</si>
  <si>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</si>
  <si>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</si>
  <si>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</si>
  <si>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</si>
  <si>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</si>
  <si>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</si>
  <si>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</si>
  <si>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</si>
  <si>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</si>
  <si>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</si>
  <si>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</si>
  <si>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</si>
  <si>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</si>
  <si>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</si>
  <si>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</si>
  <si>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</si>
  <si>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</si>
  <si>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</si>
  <si>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</si>
  <si>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</si>
  <si>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</si>
  <si>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</si>
  <si>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</si>
  <si>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</si>
  <si>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</si>
  <si>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</si>
  <si>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</si>
  <si>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</si>
  <si>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</si>
  <si>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</si>
  <si>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</si>
  <si>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</si>
  <si>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</si>
  <si>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</si>
  <si>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</si>
  <si>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</si>
  <si>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</si>
  <si>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</si>
  <si>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</si>
  <si>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</si>
  <si>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</si>
  <si>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</si>
  <si>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</si>
  <si>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</si>
  <si>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</si>
  <si>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</si>
  <si>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</si>
  <si>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</si>
  <si>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</si>
  <si>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</si>
  <si>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</si>
  <si>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</si>
  <si>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</si>
  <si>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</si>
  <si>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</si>
  <si>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</si>
  <si>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</si>
  <si>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</si>
  <si>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</si>
  <si>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</si>
  <si>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</si>
  <si>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</si>
  <si>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</si>
  <si>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</si>
  <si>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</si>
  <si>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</si>
  <si>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</si>
  <si>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</si>
  <si>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</si>
  <si>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</si>
  <si>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</si>
  <si>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</si>
  <si>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</si>
  <si>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</si>
  <si>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</si>
  <si>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</si>
  <si>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</si>
  <si>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</si>
  <si>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</si>
  <si>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</si>
  <si>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</si>
  <si>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</si>
  <si>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</si>
  <si>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</si>
  <si>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</si>
  <si>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</si>
  <si>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</si>
  <si>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</si>
  <si>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</si>
  <si>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</si>
  <si>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</si>
  <si>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</si>
  <si>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</si>
  <si>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</si>
  <si>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</si>
  <si>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</si>
  <si>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</si>
  <si>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</si>
  <si>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</si>
  <si>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</si>
  <si>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</si>
  <si>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</si>
  <si>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</si>
  <si>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</si>
  <si>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</si>
  <si>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</si>
  <si>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</si>
  <si>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</si>
  <si>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</si>
  <si>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</si>
  <si>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</si>
  <si>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</si>
  <si>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</si>
  <si>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</si>
  <si>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</si>
  <si>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</si>
  <si>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</si>
  <si>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</si>
  <si>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</si>
  <si>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</si>
  <si>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</si>
  <si>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</si>
  <si>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</si>
  <si>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</si>
  <si>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</si>
  <si>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</si>
  <si>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</si>
  <si>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</si>
  <si>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</si>
  <si>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</si>
  <si>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</si>
  <si>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</si>
  <si>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</si>
  <si>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</si>
  <si>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</si>
  <si>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</si>
  <si>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</si>
  <si>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</si>
  <si>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</si>
  <si>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</si>
  <si>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</si>
  <si>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</si>
  <si>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</si>
  <si>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</si>
  <si>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</si>
  <si>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</si>
  <si>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</si>
  <si>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</si>
  <si>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</si>
  <si>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</si>
  <si>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</si>
  <si>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</si>
  <si>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</si>
  <si>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</si>
  <si>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</si>
  <si>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</si>
  <si>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</si>
  <si>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</si>
  <si>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</si>
  <si>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</si>
  <si>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</si>
  <si>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</si>
  <si>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</si>
  <si>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</si>
  <si>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</si>
  <si>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</si>
  <si>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</si>
  <si>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</si>
  <si>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</si>
  <si>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</si>
  <si>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</si>
  <si>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</si>
  <si>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</si>
  <si>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</si>
  <si>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</si>
  <si>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</si>
  <si>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</si>
  <si>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</si>
  <si>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</si>
  <si>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</si>
  <si>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</si>
  <si>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</si>
  <si>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</si>
  <si>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</si>
  <si>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</si>
  <si>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</si>
  <si>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</si>
  <si>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</si>
  <si>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</si>
  <si>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</si>
  <si>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</si>
  <si>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</si>
  <si>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</si>
  <si>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</si>
  <si>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</si>
  <si>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</si>
  <si>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</si>
  <si>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</si>
  <si>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</si>
  <si>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</si>
  <si>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</si>
  <si>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</si>
  <si>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</si>
  <si>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</si>
  <si>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</si>
  <si>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</si>
  <si>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</si>
  <si>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</si>
  <si>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</si>
  <si>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</si>
  <si>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</si>
  <si>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</si>
  <si>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</si>
  <si>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</si>
  <si>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</si>
  <si>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</si>
  <si>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</si>
  <si>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</si>
  <si>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</si>
  <si>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</si>
  <si>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</si>
  <si>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</si>
  <si>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</si>
  <si>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</si>
  <si>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</si>
  <si>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</si>
  <si>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</si>
  <si>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</si>
  <si>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</si>
  <si>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</si>
  <si>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</si>
  <si>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</si>
  <si>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</si>
  <si>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</si>
  <si>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</si>
  <si>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</si>
  <si>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</si>
  <si>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</si>
  <si>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</si>
  <si>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</si>
  <si>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</si>
  <si>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</si>
  <si>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</si>
  <si>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</si>
  <si>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</si>
  <si>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</si>
  <si>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</si>
  <si>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</si>
  <si>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</si>
  <si>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</si>
  <si>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</si>
  <si>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</si>
  <si>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</si>
  <si>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</si>
  <si>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</si>
  <si>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</si>
  <si>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</si>
  <si>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</si>
  <si>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</si>
  <si>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</si>
  <si>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</si>
  <si>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</si>
  <si>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</si>
  <si>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</si>
  <si>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</si>
  <si>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</si>
  <si>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</si>
  <si>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</si>
  <si>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</si>
  <si>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</si>
  <si>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</si>
  <si>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</si>
  <si>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</si>
  <si>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</si>
  <si>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</si>
  <si>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</si>
  <si>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</si>
  <si>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</si>
  <si>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</si>
  <si>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</si>
  <si>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</si>
  <si>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</si>
  <si>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</si>
  <si>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</si>
  <si>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</si>
  <si>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</si>
  <si>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</si>
  <si>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</si>
  <si>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</si>
  <si>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</si>
  <si>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</si>
  <si>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</si>
  <si>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</si>
  <si>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</si>
  <si>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</si>
  <si>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</si>
  <si>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</si>
  <si>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</si>
  <si>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</si>
  <si>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</si>
  <si>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</si>
  <si>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</si>
  <si>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</si>
  <si>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</si>
  <si>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</si>
  <si>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</si>
  <si>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</si>
  <si>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</si>
  <si>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</si>
  <si>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</si>
  <si>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</si>
  <si>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</si>
  <si>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</si>
  <si>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</si>
  <si>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</si>
  <si>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</si>
  <si>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</si>
  <si>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</si>
  <si>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</si>
  <si>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</si>
  <si>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</si>
  <si>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</si>
  <si>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</si>
  <si>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</si>
  <si>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</si>
  <si>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</si>
  <si>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</si>
  <si>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</si>
  <si>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</si>
  <si>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</si>
  <si>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</si>
  <si>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</si>
  <si>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</si>
  <si>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</si>
  <si>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</si>
  <si>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</si>
  <si>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</si>
  <si>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</si>
  <si>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</si>
  <si>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</si>
  <si>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</si>
  <si>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</si>
  <si>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</si>
  <si>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</si>
  <si>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</si>
  <si>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</si>
  <si>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</si>
  <si>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</si>
  <si>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</si>
  <si>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</si>
  <si>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</si>
  <si>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</si>
  <si>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</si>
  <si>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</si>
  <si>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</si>
  <si>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</si>
  <si>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</si>
  <si>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</si>
  <si>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</si>
  <si>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</si>
  <si>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</si>
  <si>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</si>
  <si>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</si>
  <si>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</si>
  <si>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</si>
  <si>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</si>
  <si>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</si>
  <si>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</si>
  <si>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</si>
  <si>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</si>
  <si>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</si>
  <si>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</si>
  <si>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</si>
  <si>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</si>
  <si>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</si>
  <si>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</si>
  <si>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</si>
  <si>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</si>
  <si>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</si>
  <si>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</si>
  <si>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</si>
  <si>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</si>
  <si>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</si>
  <si>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</si>
  <si>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</si>
  <si>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</si>
  <si>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</si>
  <si>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</si>
  <si>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</si>
  <si>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</si>
  <si>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</si>
  <si>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</si>
  <si>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</si>
  <si>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</si>
  <si>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</si>
  <si>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</si>
  <si>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</si>
  <si>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</si>
  <si>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</si>
  <si>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</si>
  <si>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</si>
  <si>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</si>
  <si>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</si>
  <si>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</si>
  <si>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</si>
  <si>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</si>
  <si>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</si>
  <si>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</si>
  <si>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</si>
  <si>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</si>
  <si>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</si>
  <si>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</si>
  <si>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</si>
  <si>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</si>
  <si>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</si>
  <si>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</si>
  <si>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</si>
  <si>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</si>
  <si>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</si>
  <si>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</si>
  <si>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</si>
  <si>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</si>
  <si>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</si>
  <si>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</si>
  <si>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</si>
  <si>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</si>
  <si>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</si>
  <si>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</si>
  <si>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</si>
  <si>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</si>
  <si>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</si>
  <si>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</si>
  <si>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</si>
  <si>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</si>
  <si>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</si>
  <si>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</si>
  <si>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</si>
  <si>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</si>
  <si>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</si>
  <si>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</si>
  <si>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</si>
  <si>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</si>
  <si>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</si>
  <si>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</si>
  <si>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</si>
  <si>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</si>
  <si>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</si>
  <si>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</si>
  <si>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</si>
  <si>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</si>
  <si>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</si>
  <si>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</si>
  <si>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</si>
  <si>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</si>
  <si>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</si>
  <si>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</si>
  <si>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</si>
  <si>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</si>
  <si>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</si>
  <si>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</si>
  <si>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</si>
  <si>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</si>
  <si>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</si>
  <si>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</si>
  <si>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</si>
  <si>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</si>
  <si>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</si>
  <si>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</si>
  <si>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</si>
  <si>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</si>
  <si>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</si>
  <si>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</si>
  <si>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</si>
  <si>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</si>
  <si>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</si>
  <si>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</si>
  <si>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</si>
  <si>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</si>
  <si>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</si>
  <si>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</si>
  <si>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</si>
  <si>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</si>
  <si>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</si>
  <si>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</si>
  <si>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</si>
  <si>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</si>
  <si>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</si>
  <si>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</si>
  <si>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</si>
  <si>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</si>
  <si>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</si>
  <si>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</si>
  <si>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</si>
  <si>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</si>
  <si>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</si>
  <si>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</si>
  <si>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</si>
  <si>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</si>
  <si>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</si>
  <si>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</si>
  <si>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</si>
  <si>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</si>
  <si>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</si>
  <si>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</si>
  <si>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</si>
  <si>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</si>
  <si>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</si>
  <si>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</si>
  <si>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</si>
  <si>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</si>
  <si>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</si>
  <si>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</si>
  <si>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</si>
  <si>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</si>
  <si>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</si>
  <si>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</si>
  <si>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</si>
  <si>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</si>
  <si>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</si>
  <si>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</si>
  <si>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</si>
  <si>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</si>
  <si>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</si>
  <si>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</si>
  <si>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</si>
  <si>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</si>
  <si>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</si>
  <si>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</si>
  <si>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</si>
  <si>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</si>
  <si>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</si>
  <si>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</si>
  <si>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</si>
  <si>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</si>
  <si>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</si>
  <si>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</si>
  <si>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</si>
  <si>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</si>
  <si>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</si>
  <si>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</si>
  <si>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</si>
  <si>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</si>
  <si>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</si>
  <si>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</si>
  <si>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</si>
  <si>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</si>
  <si>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</si>
  <si>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</si>
  <si>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</si>
  <si>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</si>
  <si>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</si>
  <si>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</si>
  <si>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</si>
  <si>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</si>
  <si>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</si>
  <si>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</si>
  <si>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</si>
  <si>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</si>
  <si>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</si>
  <si>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</si>
  <si>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</si>
  <si>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</si>
  <si>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</si>
  <si>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</si>
  <si>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</si>
  <si>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</si>
  <si>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</si>
  <si>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</si>
  <si>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</si>
  <si>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</si>
  <si>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</si>
  <si>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</si>
  <si>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</si>
  <si>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</si>
  <si>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</si>
  <si>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</si>
  <si>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</si>
  <si>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</si>
  <si>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</si>
  <si>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</si>
  <si>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</si>
  <si>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</si>
  <si>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</si>
  <si>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</si>
  <si>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</si>
  <si>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</si>
  <si>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</si>
  <si>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</si>
  <si>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</si>
  <si>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</si>
  <si>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</si>
  <si>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</si>
  <si>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</si>
  <si>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</si>
  <si>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</si>
  <si>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</si>
  <si>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</si>
  <si>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</si>
  <si>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</si>
  <si>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</si>
  <si>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</si>
  <si>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</si>
  <si>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</si>
  <si>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</si>
  <si>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</si>
  <si>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</si>
  <si>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</si>
  <si>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</si>
  <si>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</si>
  <si>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</si>
  <si>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</si>
  <si>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</si>
  <si>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</si>
  <si>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</si>
  <si>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</si>
  <si>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</si>
  <si>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</si>
  <si>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</si>
  <si>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</si>
  <si>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</si>
  <si>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</si>
  <si>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</si>
  <si>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</si>
  <si>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</si>
  <si>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</si>
  <si>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</si>
  <si>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</si>
  <si>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</si>
  <si>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</si>
  <si>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</si>
  <si>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</si>
  <si>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</si>
  <si>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</si>
  <si>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</si>
  <si>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</si>
  <si>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</si>
  <si>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</si>
  <si>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</si>
  <si>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</si>
  <si>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</si>
  <si>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</si>
  <si>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</si>
  <si>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</si>
  <si>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</si>
  <si>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</si>
  <si>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</si>
  <si>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</si>
  <si>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</si>
  <si>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</si>
  <si>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</si>
  <si>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</si>
  <si>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</si>
  <si>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</si>
  <si>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</si>
  <si>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</si>
  <si>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</si>
  <si>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</si>
  <si>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</si>
  <si>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</si>
  <si>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</si>
  <si>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</si>
  <si>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</si>
  <si>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</si>
  <si>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</si>
  <si>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</si>
  <si>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</si>
  <si>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</si>
  <si>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</si>
  <si>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</si>
  <si>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</si>
  <si>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</si>
  <si>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</si>
  <si>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</si>
  <si>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</si>
  <si>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</si>
  <si>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</si>
  <si>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</si>
  <si>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</si>
  <si>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</si>
  <si>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</si>
  <si>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</si>
  <si>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</si>
  <si>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</si>
  <si>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</si>
  <si>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</si>
  <si>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</si>
  <si>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</si>
  <si>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</si>
  <si>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</si>
  <si>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</si>
  <si>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</si>
  <si>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</si>
  <si>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</si>
  <si>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</si>
  <si>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</si>
  <si>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</si>
  <si>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</si>
  <si>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</si>
  <si>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</si>
  <si>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</si>
  <si>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</si>
  <si>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</si>
  <si>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</si>
  <si>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</si>
  <si>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</si>
  <si>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</si>
  <si>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</si>
  <si>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</si>
  <si>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</si>
  <si>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</si>
  <si>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</si>
  <si>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</si>
  <si>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</si>
  <si>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</si>
  <si>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</si>
  <si>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</si>
  <si>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</si>
  <si>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</si>
  <si>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</si>
  <si>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</si>
  <si>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</si>
  <si>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</si>
  <si>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</si>
  <si>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</si>
  <si>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</si>
  <si>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</si>
  <si>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</si>
  <si>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</si>
  <si>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</si>
  <si>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</si>
  <si>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</si>
  <si>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</si>
  <si>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</si>
  <si>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</si>
  <si>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</si>
  <si>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</si>
  <si>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</si>
  <si>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</si>
  <si>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</si>
  <si>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</si>
  <si>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</si>
  <si>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</si>
  <si>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</si>
  <si>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</si>
  <si>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</si>
  <si>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</si>
  <si>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</si>
  <si>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</si>
  <si>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</si>
  <si>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</si>
  <si>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</si>
  <si>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</si>
  <si>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</si>
  <si>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</si>
  <si>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</si>
  <si>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</si>
  <si>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</si>
  <si>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</si>
  <si>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</si>
  <si>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</si>
  <si>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</si>
  <si>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</si>
  <si>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</si>
  <si>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</si>
  <si>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</si>
  <si>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</si>
  <si>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</si>
  <si>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</si>
  <si>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</si>
  <si>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</si>
  <si>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</si>
  <si>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</si>
  <si>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</si>
  <si>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</si>
  <si>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</si>
  <si>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</si>
  <si>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</si>
  <si>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</si>
  <si>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</si>
  <si>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</si>
  <si>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</si>
  <si>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</si>
  <si>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</si>
  <si>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</si>
  <si>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</si>
  <si>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</si>
  <si>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</si>
  <si>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</si>
  <si>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</si>
  <si>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</si>
  <si>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</si>
  <si>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</si>
  <si>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</si>
  <si>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</si>
  <si>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</si>
  <si>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</si>
  <si>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</si>
  <si>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</si>
  <si>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</si>
  <si>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</si>
  <si>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</si>
  <si>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</si>
  <si>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</si>
  <si>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</si>
  <si>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</si>
  <si>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</si>
  <si>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</si>
  <si>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</si>
  <si>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</si>
  <si>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</si>
  <si>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</si>
  <si>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</si>
  <si>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</si>
  <si>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</si>
  <si>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</si>
  <si>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</si>
  <si>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</si>
  <si>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</si>
  <si>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</si>
  <si>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</si>
  <si>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</si>
  <si>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</si>
  <si>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</si>
  <si>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</si>
  <si>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</si>
  <si>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</si>
  <si>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</si>
  <si>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</si>
  <si>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</si>
  <si>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</si>
  <si>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</si>
  <si>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</si>
  <si>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</si>
  <si>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</si>
  <si>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</si>
  <si>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</si>
  <si>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</si>
  <si>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</si>
  <si>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</si>
  <si>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</si>
  <si>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</si>
  <si>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</si>
  <si>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</si>
  <si>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</si>
  <si>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</si>
  <si>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</si>
  <si>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</si>
  <si>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</si>
  <si>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</si>
  <si>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</si>
  <si>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</si>
  <si>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</si>
  <si>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</si>
  <si>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</si>
  <si>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</si>
  <si>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</si>
  <si>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</si>
  <si>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</si>
  <si>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</si>
  <si>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</si>
  <si>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</si>
  <si>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</si>
  <si>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</si>
  <si>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</si>
  <si>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</si>
  <si>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</si>
  <si>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</si>
  <si>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</si>
  <si>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</si>
  <si>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</si>
  <si>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</si>
  <si>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</si>
  <si>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</si>
  <si>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</si>
  <si>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</si>
  <si>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</si>
  <si>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</si>
  <si>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</si>
  <si>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</si>
  <si>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</si>
  <si>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</si>
  <si>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</si>
  <si>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</si>
  <si>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</si>
  <si>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</si>
  <si>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</si>
  <si>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</si>
  <si>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</si>
  <si>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</si>
  <si>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</si>
  <si>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</si>
  <si>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</si>
  <si>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</si>
  <si>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</si>
  <si>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</si>
  <si>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</si>
  <si>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</si>
  <si>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</si>
  <si>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</si>
  <si>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</si>
  <si>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</si>
  <si>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</si>
  <si>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</si>
  <si>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</si>
  <si>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</si>
  <si>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</si>
  <si>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</si>
  <si>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</si>
  <si>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</si>
  <si>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</si>
  <si>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</si>
  <si>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</si>
  <si>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</si>
  <si>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</si>
  <si>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</si>
  <si>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</si>
  <si>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</si>
  <si>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</si>
  <si>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</si>
  <si>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</si>
  <si>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</si>
  <si>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</si>
  <si>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</si>
  <si>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</si>
  <si>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</si>
  <si>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</si>
  <si>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</si>
  <si>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</si>
  <si>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</si>
  <si>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</si>
  <si>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</si>
  <si>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</si>
  <si>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</si>
  <si>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</si>
  <si>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</si>
  <si>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</si>
  <si>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</si>
  <si>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</si>
  <si>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</si>
  <si>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</si>
  <si>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</si>
  <si>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</si>
  <si>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</si>
  <si>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</si>
  <si>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</si>
  <si>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</si>
  <si>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</si>
  <si>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</si>
  <si>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</si>
  <si>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</si>
  <si>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</si>
  <si>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</si>
  <si>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</si>
  <si>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</si>
  <si>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</si>
  <si>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</si>
  <si>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</si>
  <si>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</si>
  <si>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</si>
  <si>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</si>
  <si>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</si>
  <si>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</si>
  <si>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</si>
  <si>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</si>
  <si>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</si>
  <si>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</si>
  <si>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</si>
  <si>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</si>
  <si>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</si>
  <si>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</si>
  <si>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</si>
  <si>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</si>
  <si>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</si>
  <si>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</si>
  <si>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</si>
  <si>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</si>
  <si>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</si>
  <si>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</si>
  <si>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</si>
  <si>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</si>
  <si>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</si>
  <si>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</si>
  <si>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</si>
  <si>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</si>
  <si>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</si>
  <si>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</si>
  <si>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</si>
  <si>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</si>
  <si>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</si>
  <si>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</si>
  <si>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</si>
  <si>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</si>
  <si>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</si>
  <si>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</si>
  <si>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</si>
  <si>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</si>
  <si>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</si>
  <si>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</si>
  <si>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</si>
  <si>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</si>
  <si>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</si>
  <si>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</si>
  <si>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</si>
  <si>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</si>
  <si>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</si>
  <si>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</si>
  <si>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</si>
  <si>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</si>
  <si>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</si>
  <si>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</si>
  <si>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</si>
  <si>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</si>
  <si>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</si>
  <si>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</si>
  <si>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</si>
  <si>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</si>
  <si>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</si>
  <si>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</si>
  <si>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</si>
  <si>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</si>
  <si>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</si>
  <si>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</si>
  <si>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</si>
  <si>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</si>
  <si>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</si>
  <si>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</si>
  <si>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</si>
  <si>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</si>
  <si>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</si>
  <si>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</si>
  <si>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</si>
  <si>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</si>
  <si>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</si>
  <si>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</si>
  <si>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</si>
  <si>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m - FIS Children INTERKRITERIUM Vrátna 2025</t>
  </si>
  <si>
    <t>0022025</t>
  </si>
  <si>
    <t>Prenájom zobrazovacieho zariadenia na podujatí FIS Children Interkriterium Vrátna 2025</t>
  </si>
  <si>
    <t>Zálohová faktúra na prenájom zobrazovacieho zariadenia na podujatí FIS Children Interkriterium Vrátna 2025</t>
  </si>
  <si>
    <t>20250002</t>
  </si>
  <si>
    <t>52306976</t>
  </si>
  <si>
    <t>Cooper Agency s. r. o.</t>
  </si>
  <si>
    <t>m - organizácia tradičných športových podujatí</t>
  </si>
  <si>
    <t>Kontaktná osoba zodpovedná za vyplnený formulár
meno a priezvisko: Ing. Andrej Gábriš
e-mail: gabrisa@vratna.sk
tel. kontakt (mobil): 0903 528 610</t>
  </si>
  <si>
    <t>DF20260025</t>
  </si>
  <si>
    <t>DF20260027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</si>
</sst>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81" val="8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73"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5"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05"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4"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799999999999997" customHeight="1" x14ac:dyDescent="0.25">
      <c r="A132" s="23" t="s">
        <v>1348</v>
      </c>
    </row>
    <row r="133" spans="1:1" ht="61.5" customHeight="1" x14ac:dyDescent="0.25">
      <c r="A133" s="300" t="s">
        <v>1360</v>
      </c>
    </row>
    <row r="134" spans="1:1" x14ac:dyDescent="0.25">
      <c r="A134" s="260" t="s">
        <v>1361</v>
      </c>
    </row>
    <row r="135" spans="1:1" ht="105.6" x14ac:dyDescent="0.25">
      <c r="A135" s="300" t="s">
        <v>1349</v>
      </c>
    </row>
    <row r="136" spans="1:1" x14ac:dyDescent="0.25">
      <c r="A136"/>
    </row>
    <row r="137" spans="1:1" ht="71.5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SKI CLUB VRÁTNA, Južná trieda 2254/46, Košice, 040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0"/>
      <c r="N14" s="137" t="str">
        <f t="shared" si="0"/>
        <v xml:space="preserve">n - </v>
      </c>
      <c r="O14" s="137" t="s">
        <v>364</v>
      </c>
    </row>
    <row r="15" spans="1:16" ht="34.35" customHeight="1" x14ac:dyDescent="0.25">
      <c r="A15" s="139" t="s">
        <v>1285</v>
      </c>
      <c r="B15" s="385" t="s">
        <v>3003</v>
      </c>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35546913</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B38" sqref="B38"/>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72"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SKI CLUB VRÁTNA</v>
      </c>
      <c r="C3" s="338"/>
      <c r="D3" s="338"/>
      <c r="G3" s="252">
        <v>45747</v>
      </c>
    </row>
    <row r="4" spans="1:7" ht="13.8" x14ac:dyDescent="0.25">
      <c r="A4" s="30" t="s">
        <v>313</v>
      </c>
      <c r="B4" s="29" t="str">
        <f>RIGHT("0000"&amp;INDEX(Adr!A:A,Doklady!B102+1),8)</f>
        <v>35546913</v>
      </c>
      <c r="G4" s="252">
        <v>45777</v>
      </c>
    </row>
    <row r="5" spans="1:7" ht="13.8" x14ac:dyDescent="0.25">
      <c r="A5" s="30" t="s">
        <v>314</v>
      </c>
      <c r="B5" s="29" t="str">
        <f>INDEX(Adr!D:D,Doklady!B102+1)&amp;", "&amp;INDEX(Adr!E:E,Doklady!B102+1)</f>
        <v>Južná trieda 2254/46, Košice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7"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60" t="s">
        <v>59</v>
      </c>
      <c r="C3" s="351" t="str">
        <f>INDEX(Adr!B2:B244,Doklady!B102)</f>
        <v>SKI CLUB VRÁTNA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35546913</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Južná trieda 2254/46, Košice, 040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7.399999999999999" x14ac:dyDescent="0.3">
      <c r="A12" s="69" t="s">
        <v>321</v>
      </c>
      <c r="B12" s="70" t="s">
        <v>322</v>
      </c>
      <c r="C12" s="126">
        <f>SUMIF(FP!J:J,Doklady!$B$1&amp;A12,FP!D:D)</f>
        <v>4333.5</v>
      </c>
      <c r="D12" s="126">
        <f>C12-E12</f>
        <v>4333.5</v>
      </c>
      <c r="E12" s="343">
        <f>SUMIF(K:K,A12,I:I)</f>
        <v>0</v>
      </c>
      <c r="F12" s="344"/>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4333.5</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FIS Children INTERKRITERIUM Vrátna 2025</v>
      </c>
      <c r="C53" s="73">
        <f>IF(A53&lt;&gt;"",INDEX(FP!D:D,Doklady!B$2+(ROW()-53)),"")</f>
        <v>4333.5</v>
      </c>
      <c r="D53" s="73">
        <f>IF(A53&lt;&gt;"",Doklady!I1-Doklady!J1,"")</f>
        <v>4333.5</v>
      </c>
      <c r="E53" s="73">
        <f>IF(A53&lt;&gt;"",MIN(D53,C53)*Doklady!C1/(1-Doklady!C1),"")</f>
        <v>0</v>
      </c>
      <c r="F53" s="71">
        <f>IF(A53&lt;&gt;"",Doklady!J1,"")</f>
        <v>0</v>
      </c>
      <c r="G53" s="73">
        <f>+IFERROR(HLOOKUP(IF(RIGHT(B53,15)="bežné transfery",LEFT(B53,LEN(B53)-18),0),$J$40:$K$42,3,0),MIN(C53,D53))</f>
        <v>4333.5</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4333.5</v>
      </c>
      <c r="D130" s="228">
        <f t="shared" ref="D130:I130" si="9">SUM(D53:D129)</f>
        <v>4333.5</v>
      </c>
      <c r="E130" s="228">
        <f t="shared" si="9"/>
        <v>0</v>
      </c>
      <c r="F130" s="228">
        <f t="shared" si="9"/>
        <v>0</v>
      </c>
      <c r="G130" s="228">
        <f t="shared" si="9"/>
        <v>4333.5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25">
        <v>46127</v>
      </c>
      <c r="C140" s="229"/>
      <c r="D140" s="362"/>
      <c r="E140" s="362"/>
      <c r="F140" s="362"/>
      <c r="G140" s="362"/>
      <c r="H140" s="362"/>
      <c r="I140" s="362"/>
      <c r="J140" s="85"/>
    </row>
    <row r="141" spans="1:26" ht="68.25" customHeight="1" x14ac:dyDescent="0.25">
      <c r="A141" s="9"/>
      <c r="B141" s="280" t="s">
        <v>3004</v>
      </c>
      <c r="C141" s="214"/>
      <c r="D141" s="342" t="s">
        <v>393</v>
      </c>
      <c r="E141" s="342"/>
      <c r="F141" s="342"/>
      <c r="G141" s="342"/>
      <c r="H141" s="342"/>
      <c r="I141" s="342"/>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F115" sqref="F115"/>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m - FIS Children INTERKRITERIUM Vrátna 2025</v>
      </c>
      <c r="B1" s="232" t="str">
        <f>INDEX(Adr!A:A,B102+1)</f>
        <v>35546913</v>
      </c>
      <c r="C1" s="233">
        <f>IF(ROW()&lt;=B$3,INDEX(FP!E:E,B$2+ROW()-1),"")</f>
        <v>0</v>
      </c>
      <c r="D1" s="234" t="str">
        <f>IF(ROW()&lt;=B$3,INDEX(FP!F:F,B$2+ROW()-1),"")</f>
        <v>m</v>
      </c>
      <c r="E1" s="234"/>
      <c r="F1" s="234" t="str">
        <f>IF(ROW()&lt;=B$3,INDEX(FP!G:G,B$2+ROW()-1),"")</f>
        <v>026 03</v>
      </c>
      <c r="G1" s="234"/>
      <c r="H1" s="235" t="str">
        <f>IF(ROW()&lt;=B$3,INDEX(FP!C:C,B$2+ROW()-1),"")</f>
        <v>FIS Children INTERKRITERIUM Vrátna 2025</v>
      </c>
      <c r="I1" s="236">
        <f t="shared" ref="I1:I6" si="0">IF(ROW()&lt;=B$3,SUMIF(A$107:A$10042,A1,I$107:I$10042),"")</f>
        <v>4333.5</v>
      </c>
      <c r="J1" s="236">
        <f t="shared" ref="J1:J32" si="1">IF(ROW()&lt;=B$3,SUMIFS(I$103:I$50042,A$103:A$50042,K1,J$103:J$50042,L1),"")</f>
        <v>0</v>
      </c>
      <c r="K1" s="110" t="str">
        <f>$A1</f>
        <v>m - FIS Children INTERKRITERIUM Vrátna 2025</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98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81</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2996</v>
      </c>
      <c r="B107" s="14" t="s">
        <v>3005</v>
      </c>
      <c r="C107" s="14" t="s">
        <v>2997</v>
      </c>
      <c r="D107" s="16">
        <v>45669</v>
      </c>
      <c r="E107" s="16"/>
      <c r="F107" s="14" t="s">
        <v>2999</v>
      </c>
      <c r="G107" s="14" t="s">
        <v>3001</v>
      </c>
      <c r="H107" s="14" t="s">
        <v>3002</v>
      </c>
      <c r="I107" s="15">
        <v>3000</v>
      </c>
      <c r="J107" s="77">
        <v>10</v>
      </c>
      <c r="K107" s="92"/>
    </row>
    <row r="108" spans="1:25" ht="13.2" customHeight="1" x14ac:dyDescent="0.25">
      <c r="A108" s="14" t="s">
        <v>2996</v>
      </c>
      <c r="B108" s="14" t="s">
        <v>3006</v>
      </c>
      <c r="C108" s="14" t="s">
        <v>3000</v>
      </c>
      <c r="D108" s="16">
        <v>45705</v>
      </c>
      <c r="E108" s="16"/>
      <c r="F108" s="14" t="s">
        <v>2998</v>
      </c>
      <c r="G108" s="14" t="s">
        <v>3001</v>
      </c>
      <c r="H108" s="14" t="s">
        <v>3002</v>
      </c>
      <c r="I108" s="15">
        <v>1333.5</v>
      </c>
      <c r="J108" s="77">
        <v>10</v>
      </c>
      <c r="K108" s="92"/>
    </row>
    <row r="109" spans="1:25" ht="13.2" x14ac:dyDescent="0.25">
      <c r="A109" s="14"/>
      <c r="B109" s="14"/>
      <c r="C109" s="14"/>
      <c r="D109" s="16"/>
      <c r="E109" s="16"/>
      <c r="F109" s="14"/>
      <c r="G109" s="14"/>
      <c r="H109" s="14"/>
      <c r="I109" s="15"/>
      <c r="J109" s="77"/>
      <c r="K109" s="92"/>
    </row>
    <row r="110" spans="1:25" ht="13.2" x14ac:dyDescent="0.25">
      <c r="A110" s="14"/>
      <c r="B110" s="14"/>
      <c r="C110" s="14"/>
      <c r="D110" s="16"/>
      <c r="E110" s="16"/>
      <c r="F110" s="14"/>
      <c r="G110" s="14"/>
      <c r="H110" s="14"/>
      <c r="I110" s="15"/>
      <c r="J110" s="77"/>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2"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2"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2"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2"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2"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2"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2"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2"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2"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3.2" x14ac:dyDescent="0.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2" x14ac:dyDescent="0.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3.2" x14ac:dyDescent="0.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2">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2">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0.399999999999999" x14ac:dyDescent="0.2">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3.2" x14ac:dyDescent="0.25">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2">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2">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2">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2">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3.2" x14ac:dyDescent="0.25">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2">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2">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2">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2">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2">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2">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2">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2">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2">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2">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2">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2">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2">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2">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2">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2">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2">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2">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2">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2">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3.2" x14ac:dyDescent="0.25">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2">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2">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2">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3.2" x14ac:dyDescent="0.25">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2">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3.2" x14ac:dyDescent="0.25">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3.2" x14ac:dyDescent="0.25">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3.2" x14ac:dyDescent="0.25">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2">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2">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2">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3.2" x14ac:dyDescent="0.25">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2">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2" x14ac:dyDescent="0.25">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3.2" x14ac:dyDescent="0.25">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2">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2">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2">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3.2" x14ac:dyDescent="0.25">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2">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SKI CLUB VRÁTNA, Južná trieda 2254/46, Košice, 040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35546913</v>
      </c>
      <c r="E18" s="147" t="s">
        <v>1275</v>
      </c>
      <c r="F18" s="281">
        <v>421947749446</v>
      </c>
      <c r="N18" s="137" t="str">
        <f t="shared" si="0"/>
        <v xml:space="preserve">r - </v>
      </c>
      <c r="O18" s="137" t="s">
        <v>368</v>
      </c>
    </row>
    <row r="19" spans="1:16" x14ac:dyDescent="0.25">
      <c r="E19" s="147" t="s">
        <v>1276</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Andrej Gábriš</cp:lastModifiedBy>
  <cp:revision/>
  <cp:lastPrinted>2025-01-23T13:30:36Z</cp:lastPrinted>
  <dcterms:created xsi:type="dcterms:W3CDTF">2017-02-20T06:20:12Z</dcterms:created>
  <dcterms:modified xsi:type="dcterms:W3CDTF">2026-06-03T11:53:06Z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